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'G'!$A$1:$S$152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<sst xmlns="http://schemas.openxmlformats.org/spreadsheetml/2006/main" count="386" uniqueCount="184">
  <si>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</si>
  <si>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</si>
  <si>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</si>
  <si>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</si>
  <si>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</si>
  <si>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</si>
  <si>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</si>
  <si>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</si>
  <si>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</si>
  <si>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</si>
  <si>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</si>
  <si>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</si>
  <si>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</si>
  <si>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</si>
  <si>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</si>
  <si>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</si>
  <si>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</si>
  <si>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</si>
  <si>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</si>
  <si>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</si>
  <si>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</si>
  <si>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</si>
  <si>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</si>
  <si>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</si>
  <si>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</si>
  <si>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</si>
  <si>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</si>
  <si>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</si>
  <si>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</si>
  <si>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</si>
  <si>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</si>
  <si>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</si>
  <si>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</si>
  <si>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</si>
  <si>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</si>
  <si>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</si>
  <si>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</si>
  <si>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</si>
  <si>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</si>
  <si>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</si>
  <si>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</si>
  <si>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</si>
  <si>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</si>
  <si>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</si>
  <si>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</si>
  <si>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</si>
  <si>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</si>
  <si>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</si>
  <si>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>Modernizacja budynku przedszkola wraz z modernizacją placu zabaw w Nowej Wsi</t>
  </si>
  <si>
    <t xml:space="preserve">Modernizacja budynku przedszkola w Michałowicach </t>
  </si>
  <si>
    <t>Modernizacja oświetlenia ulicznego na terenie gminy (dok. i wyk.)</t>
  </si>
  <si>
    <t>Budowa boisk w Pęcicach Małych</t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</si>
  <si>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</si>
  <si>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</si>
  <si>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</si>
  <si>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</si>
  <si>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Przebudowa ul. Makowej, Studziennej, Jasnej, Grabowej, Ewy, Malinowej, Willowej w Opaczy Kol.</t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</si>
  <si>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</si>
  <si>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</si>
  <si>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</si>
  <si>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</si>
  <si>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</si>
  <si>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Budowa sieci wodociągowej w ul.Sosnowej, Daktylowej i Klonowej w Opaczy Kol.</t>
  </si>
  <si>
    <t>Przebudowa ul. Polnej, Bugaj, Turystycznej, Słonecznej  w Komorowie Wsi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</si>
  <si>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</si>
  <si>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</si>
  <si>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</si>
  <si>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Umowa wydzierżawienia działki Nr 878 w Granicy</t>
  </si>
  <si>
    <t>Odprowadzenie ścieków z terenu gminy Michałowice do sieci kanalizacyjnej MPWiK S.A. w Warszawie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</si>
  <si>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</si>
  <si>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</si>
  <si>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</si>
  <si>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</si>
  <si>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</si>
  <si>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Wykonywanie usług polegających na odczytywaniu wodomierzy i wystawianiu faktur za zrzut ścieków i dostawę wody ”</t>
  </si>
  <si>
    <t>Budowa kanalizacji sanitarnej w ul. Wandy, Sportowej i Stokrotek w Nowej Wsi</t>
  </si>
  <si>
    <t>Przebudowa ul. Sportowej, Wandy i Heleny w Nowej Wsi (dok)</t>
  </si>
  <si>
    <t>Zagospodarowanie Pl. Paderewskiego w Komorowie</t>
  </si>
  <si>
    <t>Prowadzenie audytu wewnętrznego w Gminie Michałowice</t>
  </si>
  <si>
    <t>750</t>
  </si>
  <si>
    <t>75023</t>
  </si>
  <si>
    <t>Internet SUW Komorów</t>
  </si>
  <si>
    <t xml:space="preserve">Internet Neostrada Opcja 2Mb w promocji „Wymarzony Internet” </t>
  </si>
  <si>
    <t>921</t>
  </si>
  <si>
    <t>92109</t>
  </si>
  <si>
    <t>Dostawa usług internetowych do budynków  Urzędu Gminy</t>
  </si>
  <si>
    <t>801</t>
  </si>
  <si>
    <t>80114</t>
  </si>
  <si>
    <t>Dowóz dzieci do szkół ZOEAS</t>
  </si>
  <si>
    <t>Dostawa usług telekomunikacyjnych telefonii komórkowych ZOEAS</t>
  </si>
  <si>
    <t>Dostawa usług telekomunikacyjnych telefonii komórkowych Urząd Gminy</t>
  </si>
  <si>
    <t>Dostawa usług telekomunikacyjnych telefonii komórkowych Szkoła Podstawowa Nowa Wieś</t>
  </si>
  <si>
    <t>80101</t>
  </si>
  <si>
    <t>Dostawa usług telekomunikacyjnych telefonii komórkowych Szkoła Podstawowa Komorów</t>
  </si>
  <si>
    <t>80110</t>
  </si>
  <si>
    <t>80113</t>
  </si>
  <si>
    <t>80120</t>
  </si>
  <si>
    <t>80104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</si>
  <si>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</si>
  <si>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</si>
  <si>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</si>
  <si>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</si>
  <si>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</si>
  <si>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Dowóz dzieci niepełnosprawnych ZOEAS</t>
  </si>
  <si>
    <t>Dostawa usług telekomunikacyjnych telefonii stacjonarnych Urząd Gminy</t>
  </si>
  <si>
    <t>Prowadzenie rachunków bankowych Gimnazjum Michałowice</t>
  </si>
  <si>
    <t>Prowadzenie rachunków bankowych Gimnazjum Komorów</t>
  </si>
  <si>
    <t>Prowadzenie rachunków bankowych Gimnazjum Nowa Wieś</t>
  </si>
  <si>
    <t>Prowadzenie rachunków bankowych Liceum Ogólnokształcące w Komorowie</t>
  </si>
  <si>
    <t>Prowadzenie rachunków bankowych Szkoła Podstawowa Komorów</t>
  </si>
  <si>
    <t>Prowadzenie rachunków bankowych Szkoła Podstawowa Michałowice</t>
  </si>
  <si>
    <t>Prowadzenie rachunków bankowych Szkoła Podstawowa Nowa Wieś</t>
  </si>
  <si>
    <t>Prowadzenie rachunków bankowych Urząd Gminy</t>
  </si>
  <si>
    <t>Prowadzenie rachunków bankowych Gminne Przedszkole Michałowice</t>
  </si>
  <si>
    <t>Prowadzenie rachunków bankowych Gminne Przedszkole Nowa Wieś</t>
  </si>
  <si>
    <t>Prowadzenie rachunków bankowych ZOEAS</t>
  </si>
  <si>
    <t>Przebudowa ul. Akacjowej, Klonowej, Lipowej i Żwirowej w Komorowie (dok)</t>
  </si>
  <si>
    <t>49a</t>
  </si>
  <si>
    <t>Dostawa usług telekomunikacyjnych telefonii stacjonarnej ZOEAS</t>
  </si>
  <si>
    <t>67a</t>
  </si>
  <si>
    <t>Przebudowa ul. Czystej  w Opaczy Małej wraz z odwodnieniem (dok)</t>
  </si>
  <si>
    <t>Przebudowa ul. Jaśminowej, Różanej, Tulipanów, Granicznej i Słonecznej w Nowej Wsi.</t>
  </si>
  <si>
    <t>Przebudowa ul. Orzeszkowej, Daniłowskiego, Baczyńskiego, Działkowej i Żytniej w Regułach</t>
  </si>
  <si>
    <t>Przebudowa ul. 3 Maja i Kredytowej w Komorowie</t>
  </si>
  <si>
    <t>Przebudowa ul. Dębowej w Granicy</t>
  </si>
  <si>
    <t>Odwodnienie ul. Spacerowej i Widok w Michałowicach</t>
  </si>
  <si>
    <t>Przebudowa ul. Warszawskiej (strona północna i południowa), Poprzecznej, Piaskowej, Kochanowskiego, Dębowej (dok), Skośnej (dok), Sabały (dok), Okrężnej (dok), Malczewskiego (dok), Wyspiańskiego (dok) w Granicy</t>
  </si>
  <si>
    <t>Przebudowa starego budynku Urzędu Gminy</t>
  </si>
  <si>
    <t>Budowa świetlicy wiejskiej i zagospodarowanie placu zabaw w Suchym Lesie</t>
  </si>
  <si>
    <t>Rozbudowa szkoły w Komorowie (wraz z termomodernizacją)  wraz z wykonaniem lodowiska i zadaszenie boiska</t>
  </si>
  <si>
    <t>Przebudowa ul. Wiejskiej w Regułach</t>
  </si>
  <si>
    <t>Przebudowa ul. Czystej  w Opaczy Małej wraz z odwodnieniem</t>
  </si>
  <si>
    <t>67b</t>
  </si>
  <si>
    <t>70a</t>
  </si>
  <si>
    <t>70b</t>
  </si>
  <si>
    <t>106a</t>
  </si>
  <si>
    <t>106b</t>
  </si>
  <si>
    <t>Dofinansowanie Projektu EA realizowanego przez Samorząd Województwa w ramach porozumienia</t>
  </si>
  <si>
    <t>Dofinansowanie Projektu BW realizowanego przez Samorząd Województwa w ramach porozumienia</t>
  </si>
  <si>
    <t>Przebudowa ul.  Kurpińskiego, Sobieskiego, Wiejskiej, Kotońskiego, Moniuszki, Poniatowskiego, Kraszewskiego, Mazurskiej, 3Maja (dok), Kredytowej (dok), Kujawskiej (dok) w Komorowe.</t>
  </si>
  <si>
    <t>33a</t>
  </si>
  <si>
    <t xml:space="preserve">Prowadzenie audytu wewnętrznego w Gminie Michałowice </t>
  </si>
  <si>
    <t>44 280,00</t>
  </si>
  <si>
    <t>36 900,00</t>
  </si>
  <si>
    <t>33b</t>
  </si>
  <si>
    <t>Usługi transportowe - linia autobusowa Pruszków - Komorów Wieś</t>
  </si>
  <si>
    <t>460 000,00</t>
  </si>
  <si>
    <t>120 000,00</t>
  </si>
  <si>
    <t xml:space="preserve">33c </t>
  </si>
  <si>
    <t>Usługi zwiazane z odbiorem i zagospodarowaniem odpadów od mieszkańców gminy</t>
  </si>
  <si>
    <t>3 772 000,00</t>
  </si>
  <si>
    <t>922 000,00</t>
  </si>
  <si>
    <t>33d</t>
  </si>
  <si>
    <t>Dostawa usług telekomunikacyjnych telefonii komórkowej  szkoła Komorów</t>
  </si>
  <si>
    <t>1 140,00</t>
  </si>
  <si>
    <t>540,00</t>
  </si>
  <si>
    <t>„Realizacja w latach 2012 – 2014   projektu systemowego pt. „Aktywnie do rozwoju” w ramach Programu Operacyjnego Kapitał Ludzki, Priorytet VII, Działanie 7.1, Poddziałanie 7.1.1”</t>
  </si>
  <si>
    <t>18a</t>
  </si>
  <si>
    <t>Umowa wydzierżawienia działki Nr 26 w Suchym Lesie</t>
  </si>
  <si>
    <t>44a</t>
  </si>
  <si>
    <t>Ubezpieczenie majatku gminy</t>
  </si>
  <si>
    <t xml:space="preserve">Limity wydatków w poszczególnych latach </t>
  </si>
  <si>
    <t>47a</t>
  </si>
  <si>
    <t>47b</t>
  </si>
  <si>
    <t>Dowóz dzieci niepełnosprawnych do szkół - ZOEAS</t>
  </si>
  <si>
    <t>Dowóz dzieci do szkół - ZOEAS</t>
  </si>
  <si>
    <t>Przebudowa ul. Bocznej w Regułach</t>
  </si>
  <si>
    <t>Budowa gminnego przedszkola w Granicy - etap I budowa placów zabaw</t>
  </si>
  <si>
    <r>
      <t>program 1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Budowa Kanalizacji Sanitarnej w Gminie Michałowice </t>
    </r>
    <r>
      <rPr>
        <i/>
        <sz val="11"/>
        <rFont val="Arial"/>
        <family val="2"/>
      </rPr>
      <t>ogółem</t>
    </r>
  </si>
  <si>
    <r>
      <t xml:space="preserve">program 2  </t>
    </r>
    <r>
      <rPr>
        <b/>
        <i/>
        <sz val="11"/>
        <rFont val="Arial"/>
        <family val="2"/>
      </rPr>
      <t xml:space="preserve">Budowa Sieci Wodociągowej w Gminie Michałowice </t>
    </r>
    <r>
      <rPr>
        <i/>
        <sz val="11"/>
        <rFont val="Arial"/>
        <family val="2"/>
      </rPr>
      <t>ogółem</t>
    </r>
  </si>
  <si>
    <r>
      <t xml:space="preserve">program 3 </t>
    </r>
    <r>
      <rPr>
        <b/>
        <i/>
        <sz val="11"/>
        <rFont val="Arial"/>
        <family val="2"/>
      </rPr>
      <t xml:space="preserve">Budowa Dróg w Gminie Michałowice </t>
    </r>
    <r>
      <rPr>
        <i/>
        <sz val="11"/>
        <rFont val="Arial"/>
        <family val="2"/>
      </rPr>
      <t>ogółem</t>
    </r>
  </si>
  <si>
    <r>
      <t xml:space="preserve">Przebudowa ul.: Kasztanowej, Poniatowskiego w M-cach Wsi, Wesołej, </t>
    </r>
    <r>
      <rPr>
        <sz val="11"/>
        <rFont val="Times New Roman CE"/>
        <family val="0"/>
      </rPr>
      <t>Regulskiej</t>
    </r>
    <r>
      <rPr>
        <sz val="11"/>
        <rFont val="Times New Roman CE"/>
        <family val="1"/>
      </rPr>
      <t>, Kolejowej, Topolowej w M-cach.</t>
    </r>
  </si>
  <si>
    <t>Przebudowa ul. Środkowej w Opaczy Kol.</t>
  </si>
  <si>
    <r>
      <t xml:space="preserve">program 4  </t>
    </r>
    <r>
      <rPr>
        <b/>
        <i/>
        <sz val="11"/>
        <rFont val="Arial"/>
        <family val="2"/>
      </rPr>
      <t xml:space="preserve">Budowa Urządzeń Odwadniających i Małej Retencji w Gminie Michałowice </t>
    </r>
    <r>
      <rPr>
        <i/>
        <sz val="11"/>
        <rFont val="Arial"/>
        <family val="2"/>
      </rPr>
      <t>ogółem</t>
    </r>
  </si>
  <si>
    <r>
      <t xml:space="preserve">program 5  </t>
    </r>
    <r>
      <rPr>
        <b/>
        <i/>
        <sz val="11"/>
        <rFont val="Arial"/>
        <family val="2"/>
      </rPr>
      <t xml:space="preserve">Budowa Budynków Użyteczności Publicznej w Gminie Michałowice </t>
    </r>
    <r>
      <rPr>
        <i/>
        <sz val="11"/>
        <rFont val="Arial"/>
        <family val="2"/>
      </rPr>
      <t>ogółem</t>
    </r>
  </si>
  <si>
    <r>
      <t xml:space="preserve">program 6  </t>
    </r>
    <r>
      <rPr>
        <b/>
        <i/>
        <sz val="11"/>
        <rFont val="Arial"/>
        <family val="2"/>
      </rPr>
      <t xml:space="preserve">Oświetlenie Terenów Publicznych w Gminie Michałowice </t>
    </r>
    <r>
      <rPr>
        <i/>
        <sz val="11"/>
        <rFont val="Arial"/>
        <family val="2"/>
      </rPr>
      <t>ogółem</t>
    </r>
  </si>
  <si>
    <r>
      <t xml:space="preserve">program 7  </t>
    </r>
    <r>
      <rPr>
        <b/>
        <i/>
        <sz val="11"/>
        <rFont val="Arial"/>
        <family val="2"/>
      </rPr>
      <t xml:space="preserve">Budowa Budynków Użyteczności Publicznej w Gminie Michałowice </t>
    </r>
    <r>
      <rPr>
        <i/>
        <sz val="11"/>
        <rFont val="Arial"/>
        <family val="2"/>
      </rPr>
      <t>ogółem</t>
    </r>
  </si>
  <si>
    <r>
      <t xml:space="preserve">program 8  </t>
    </r>
    <r>
      <rPr>
        <b/>
        <i/>
        <sz val="11"/>
        <rFont val="Arial"/>
        <family val="2"/>
      </rPr>
      <t xml:space="preserve">Budowa Ośrodków Sportu i Rekreacji w Gminie Michałowice </t>
    </r>
    <r>
      <rPr>
        <i/>
        <sz val="11"/>
        <rFont val="Arial"/>
        <family val="2"/>
      </rPr>
      <t>ogółem</t>
    </r>
  </si>
  <si>
    <t>realizacja przedsięwzięć w I połroczu 2013 r</t>
  </si>
  <si>
    <t>Dokonać zmian w wykazie przedsięwzięć do WPF na lata 2013–2020                                        Załącznik nr 1 do Uchwały Nr   /    /2013 Rady Gminy Michałowice z dnia           2013</t>
  </si>
  <si>
    <t>Modernizacja Al. Marii Dąbrowskiej w Komorowie (mała architektura, modernizacja chodników, budowa  ścieżki rowerowej, oprac. dok. proj)</t>
  </si>
  <si>
    <t>88a</t>
  </si>
  <si>
    <t>Przebudowa ul. Brzozowej i Al.. M. Dąbrowskiej w Komorowie - dofinansowanie inwestycji powiatowej</t>
  </si>
  <si>
    <t>W zwiazku z rozstrzygnięciem postepowania przetargowego przez Powiat proponuje się zmniejszyć wysokość pomocy finansowej udzielanej Powiatowi do kwoty 650 000,00 zł a kwotę 920 000,00 zł przeznaczyć na finansowanie zadania pn. Modernizacja Al. Marii Dąbrowskiej w Komorowie (mała architektura, modernizacja chodników, budowa  ścieżki rowerowej, oprac. dok. proj).  Z uwagi na wielomiesięczny proces opracowywania dokumentacji projektowej należy zabezpieczyć środki finansowe na rok 2014.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</si>
</sst>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  <numFmt numFmtId="172" formatCode="#,##0.00\ _z_ł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i/>
      <sz val="9"/>
      <name val="Times New Roman"/>
      <family val="1"/>
    </font>
    <font>
      <i/>
      <sz val="9"/>
      <name val="Times New Roman CE"/>
      <family val="0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0"/>
    </font>
    <font>
      <sz val="11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4" fontId="17" fillId="0" borderId="10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72" fontId="17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justify" vertical="top" wrapText="1"/>
    </xf>
    <xf numFmtId="0" fontId="26" fillId="0" borderId="11" xfId="0" applyFont="1" applyFill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center" wrapText="1"/>
    </xf>
    <xf numFmtId="4" fontId="16" fillId="0" borderId="12" xfId="0" applyNumberFormat="1" applyFont="1" applyFill="1" applyBorder="1" applyAlignment="1">
      <alignment vertical="top" wrapText="1"/>
    </xf>
    <xf numFmtId="4" fontId="46" fillId="0" borderId="10" xfId="0" applyNumberFormat="1" applyFont="1" applyBorder="1" applyAlignment="1">
      <alignment vertical="top" wrapText="1"/>
    </xf>
    <xf numFmtId="0" fontId="26" fillId="0" borderId="11" xfId="0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6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zoomScaleSheetLayoutView="100" zoomScalePageLayoutView="0" workbookViewId="0" topLeftCell="A1">
      <pane xSplit="9" ySplit="5" topLeftCell="M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153" sqref="M153"/>
    </sheetView>
  </sheetViews>
  <sheetFormatPr defaultColWidth="9.140625" defaultRowHeight="12.75"/>
  <cols>
    <col min="1" max="1" width="4.28125" style="10" customWidth="1"/>
    <col min="2" max="2" width="27.421875" style="66" customWidth="1"/>
    <col min="3" max="3" width="17.28125" style="0" customWidth="1"/>
    <col min="4" max="4" width="6.28125" style="0" customWidth="1"/>
    <col min="5" max="5" width="6.140625" style="0" customWidth="1"/>
    <col min="6" max="6" width="6.140625" style="0" hidden="1" customWidth="1"/>
    <col min="7" max="7" width="6.7109375" style="0" hidden="1" customWidth="1"/>
    <col min="8" max="8" width="14.140625" style="19" customWidth="1"/>
    <col min="9" max="9" width="13.28125" style="0" hidden="1" customWidth="1"/>
    <col min="10" max="10" width="14.28125" style="44" bestFit="1" customWidth="1"/>
    <col min="11" max="11" width="15.57421875" style="44" hidden="1" customWidth="1"/>
    <col min="12" max="12" width="12.8515625" style="0" bestFit="1" customWidth="1"/>
    <col min="13" max="15" width="11.8515625" style="0" bestFit="1" customWidth="1"/>
    <col min="16" max="16" width="13.8515625" style="0" customWidth="1"/>
    <col min="17" max="18" width="11.7109375" style="0" bestFit="1" customWidth="1"/>
    <col min="19" max="19" width="14.00390625" style="0" customWidth="1"/>
  </cols>
  <sheetData>
    <row r="1" spans="2:19" ht="25.5" customHeight="1">
      <c r="B1" s="95" t="s">
        <v>179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2:19" ht="27.75" customHeight="1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5.5" customHeight="1">
      <c r="A3" s="82" t="s">
        <v>66</v>
      </c>
      <c r="B3" s="97" t="s">
        <v>2</v>
      </c>
      <c r="C3" s="82" t="s">
        <v>19</v>
      </c>
      <c r="D3" s="84" t="s">
        <v>22</v>
      </c>
      <c r="E3" s="86"/>
      <c r="F3" s="82" t="s">
        <v>3</v>
      </c>
      <c r="G3" s="82"/>
      <c r="H3" s="83" t="s">
        <v>20</v>
      </c>
      <c r="I3" s="82" t="s">
        <v>21</v>
      </c>
      <c r="J3" s="84" t="s">
        <v>161</v>
      </c>
      <c r="K3" s="85"/>
      <c r="L3" s="85"/>
      <c r="M3" s="85"/>
      <c r="N3" s="85"/>
      <c r="O3" s="85"/>
      <c r="P3" s="85"/>
      <c r="Q3" s="85"/>
      <c r="R3" s="86"/>
      <c r="S3" s="82" t="s">
        <v>23</v>
      </c>
    </row>
    <row r="4" spans="1:19" ht="36" customHeight="1">
      <c r="A4" s="82"/>
      <c r="B4" s="97"/>
      <c r="C4" s="82"/>
      <c r="D4" s="87"/>
      <c r="E4" s="89"/>
      <c r="F4" s="82"/>
      <c r="G4" s="82"/>
      <c r="H4" s="83"/>
      <c r="I4" s="82"/>
      <c r="J4" s="87"/>
      <c r="K4" s="88"/>
      <c r="L4" s="88"/>
      <c r="M4" s="88"/>
      <c r="N4" s="88"/>
      <c r="O4" s="88"/>
      <c r="P4" s="88"/>
      <c r="Q4" s="88"/>
      <c r="R4" s="89"/>
      <c r="S4" s="82"/>
    </row>
    <row r="5" spans="1:19" ht="60">
      <c r="A5" s="11"/>
      <c r="B5" s="67"/>
      <c r="C5" s="2"/>
      <c r="D5" s="2" t="s">
        <v>4</v>
      </c>
      <c r="E5" s="2" t="s">
        <v>5</v>
      </c>
      <c r="F5" s="2" t="s">
        <v>6</v>
      </c>
      <c r="G5" s="2" t="s">
        <v>7</v>
      </c>
      <c r="H5" s="12"/>
      <c r="I5" s="2"/>
      <c r="J5" s="32">
        <v>2013</v>
      </c>
      <c r="K5" s="32" t="s">
        <v>178</v>
      </c>
      <c r="L5" s="2">
        <v>2014</v>
      </c>
      <c r="M5" s="2">
        <v>2015</v>
      </c>
      <c r="N5" s="2">
        <v>2016</v>
      </c>
      <c r="O5" s="2">
        <v>2017</v>
      </c>
      <c r="P5" s="2">
        <v>2018</v>
      </c>
      <c r="Q5" s="2">
        <v>2019</v>
      </c>
      <c r="R5" s="2">
        <v>2020</v>
      </c>
      <c r="S5" s="2"/>
    </row>
    <row r="6" spans="1:19" ht="15">
      <c r="A6" s="11">
        <v>1</v>
      </c>
      <c r="B6" s="67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0">
        <v>8</v>
      </c>
      <c r="I6" s="2">
        <v>9</v>
      </c>
      <c r="J6" s="32">
        <v>9</v>
      </c>
      <c r="K6" s="3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</row>
    <row r="7" spans="1:19" ht="15" hidden="1">
      <c r="A7" s="11">
        <v>2</v>
      </c>
      <c r="B7" s="91" t="s">
        <v>8</v>
      </c>
      <c r="C7" s="92"/>
      <c r="D7" s="92"/>
      <c r="E7" s="92"/>
      <c r="F7" s="92"/>
      <c r="G7" s="92"/>
      <c r="H7" s="13">
        <f>H8+H9</f>
        <v>156280261.22</v>
      </c>
      <c r="I7" s="13">
        <f>I8+I9</f>
        <v>13078107.62</v>
      </c>
      <c r="J7" s="29">
        <f aca="true" t="shared" si="0" ref="J7:S7">J8+J9</f>
        <v>21986814.759999998</v>
      </c>
      <c r="K7" s="29"/>
      <c r="L7" s="9">
        <f t="shared" si="0"/>
        <v>18239772.509999998</v>
      </c>
      <c r="M7" s="9">
        <f t="shared" si="0"/>
        <v>13099854</v>
      </c>
      <c r="N7" s="9">
        <f t="shared" si="0"/>
        <v>13894415</v>
      </c>
      <c r="O7" s="9">
        <f t="shared" si="0"/>
        <v>15407311</v>
      </c>
      <c r="P7" s="9">
        <f t="shared" si="0"/>
        <v>21616836</v>
      </c>
      <c r="Q7" s="9">
        <f t="shared" si="0"/>
        <v>21564608</v>
      </c>
      <c r="R7" s="9">
        <f t="shared" si="0"/>
        <v>20958493</v>
      </c>
      <c r="S7" s="9">
        <f t="shared" si="0"/>
        <v>121917291</v>
      </c>
    </row>
    <row r="8" spans="1:19" ht="15" hidden="1">
      <c r="A8" s="11">
        <v>3</v>
      </c>
      <c r="B8" s="91" t="s">
        <v>9</v>
      </c>
      <c r="C8" s="92"/>
      <c r="D8" s="92"/>
      <c r="E8" s="92"/>
      <c r="F8" s="92"/>
      <c r="G8" s="92"/>
      <c r="H8" s="13">
        <f>SUM(H21)</f>
        <v>6523091</v>
      </c>
      <c r="I8" s="13">
        <f aca="true" t="shared" si="1" ref="I8:S8">SUM(I21)</f>
        <v>2608798</v>
      </c>
      <c r="J8" s="30">
        <f t="shared" si="1"/>
        <v>1399563</v>
      </c>
      <c r="K8" s="30"/>
      <c r="L8" s="13">
        <f t="shared" si="1"/>
        <v>631307</v>
      </c>
      <c r="M8" s="13">
        <f t="shared" si="1"/>
        <v>366262</v>
      </c>
      <c r="N8" s="13">
        <f t="shared" si="1"/>
        <v>216250</v>
      </c>
      <c r="O8" s="13">
        <f t="shared" si="1"/>
        <v>117171</v>
      </c>
      <c r="P8" s="13">
        <f t="shared" si="1"/>
        <v>3308727</v>
      </c>
      <c r="Q8" s="13">
        <f t="shared" si="1"/>
        <v>119119</v>
      </c>
      <c r="R8" s="13">
        <f t="shared" si="1"/>
        <v>146794</v>
      </c>
      <c r="S8" s="13">
        <f t="shared" si="1"/>
        <v>2860378</v>
      </c>
    </row>
    <row r="9" spans="1:19" ht="15" hidden="1">
      <c r="A9" s="11">
        <v>4</v>
      </c>
      <c r="B9" s="91" t="s">
        <v>10</v>
      </c>
      <c r="C9" s="92"/>
      <c r="D9" s="92"/>
      <c r="E9" s="92"/>
      <c r="F9" s="92"/>
      <c r="G9" s="92"/>
      <c r="H9" s="13">
        <f>H12</f>
        <v>149757170.22</v>
      </c>
      <c r="I9" s="13">
        <f>I12</f>
        <v>10469309.62</v>
      </c>
      <c r="J9" s="29">
        <f aca="true" t="shared" si="2" ref="J9:S9">J12</f>
        <v>20587251.759999998</v>
      </c>
      <c r="K9" s="29"/>
      <c r="L9" s="9">
        <f t="shared" si="2"/>
        <v>17608465.509999998</v>
      </c>
      <c r="M9" s="9">
        <f t="shared" si="2"/>
        <v>12733592</v>
      </c>
      <c r="N9" s="9">
        <f t="shared" si="2"/>
        <v>13678165</v>
      </c>
      <c r="O9" s="9">
        <f t="shared" si="2"/>
        <v>15290140</v>
      </c>
      <c r="P9" s="9">
        <f t="shared" si="2"/>
        <v>18308109</v>
      </c>
      <c r="Q9" s="9">
        <f t="shared" si="2"/>
        <v>21445489</v>
      </c>
      <c r="R9" s="9">
        <f t="shared" si="2"/>
        <v>20811699</v>
      </c>
      <c r="S9" s="9">
        <f t="shared" si="2"/>
        <v>119056913</v>
      </c>
    </row>
    <row r="10" spans="1:19" ht="15" hidden="1">
      <c r="A10" s="11">
        <v>5</v>
      </c>
      <c r="B10" s="91" t="s">
        <v>11</v>
      </c>
      <c r="C10" s="92"/>
      <c r="D10" s="92"/>
      <c r="E10" s="92"/>
      <c r="F10" s="92"/>
      <c r="G10" s="92"/>
      <c r="H10" s="13">
        <f>H11+H12</f>
        <v>149757170.22</v>
      </c>
      <c r="I10" s="13">
        <f>I11+I12</f>
        <v>10469309.62</v>
      </c>
      <c r="J10" s="29">
        <f aca="true" t="shared" si="3" ref="J10:S10">J11+J12</f>
        <v>20587251.759999998</v>
      </c>
      <c r="K10" s="29"/>
      <c r="L10" s="9">
        <f t="shared" si="3"/>
        <v>17608465.509999998</v>
      </c>
      <c r="M10" s="9">
        <f t="shared" si="3"/>
        <v>12733592</v>
      </c>
      <c r="N10" s="9">
        <f t="shared" si="3"/>
        <v>13678165</v>
      </c>
      <c r="O10" s="9">
        <f t="shared" si="3"/>
        <v>15290140</v>
      </c>
      <c r="P10" s="9">
        <f t="shared" si="3"/>
        <v>18308109</v>
      </c>
      <c r="Q10" s="9">
        <f t="shared" si="3"/>
        <v>21445489</v>
      </c>
      <c r="R10" s="9">
        <f t="shared" si="3"/>
        <v>20811699</v>
      </c>
      <c r="S10" s="9">
        <f t="shared" si="3"/>
        <v>119056913</v>
      </c>
    </row>
    <row r="11" spans="1:19" ht="14.25" hidden="1">
      <c r="A11" s="11">
        <v>6</v>
      </c>
      <c r="B11" s="91" t="s">
        <v>9</v>
      </c>
      <c r="C11" s="92"/>
      <c r="D11" s="92"/>
      <c r="E11" s="92"/>
      <c r="F11" s="92"/>
      <c r="G11" s="92"/>
      <c r="H11" s="13"/>
      <c r="I11" s="14"/>
      <c r="J11" s="33"/>
      <c r="K11" s="33"/>
      <c r="L11" s="3"/>
      <c r="M11" s="3"/>
      <c r="N11" s="3"/>
      <c r="O11" s="3"/>
      <c r="P11" s="3"/>
      <c r="Q11" s="3"/>
      <c r="R11" s="3"/>
      <c r="S11" s="3"/>
    </row>
    <row r="12" spans="1:19" ht="15" hidden="1">
      <c r="A12" s="11">
        <v>7</v>
      </c>
      <c r="B12" s="91" t="s">
        <v>10</v>
      </c>
      <c r="C12" s="92"/>
      <c r="D12" s="92"/>
      <c r="E12" s="92"/>
      <c r="F12" s="92"/>
      <c r="G12" s="92"/>
      <c r="H12" s="13">
        <f>H62</f>
        <v>149757170.22</v>
      </c>
      <c r="I12" s="13">
        <f>I62</f>
        <v>10469309.62</v>
      </c>
      <c r="J12" s="29">
        <f aca="true" t="shared" si="4" ref="J12:S12">J62</f>
        <v>20587251.759999998</v>
      </c>
      <c r="K12" s="29"/>
      <c r="L12" s="9">
        <f t="shared" si="4"/>
        <v>17608465.509999998</v>
      </c>
      <c r="M12" s="9">
        <f t="shared" si="4"/>
        <v>12733592</v>
      </c>
      <c r="N12" s="9">
        <f t="shared" si="4"/>
        <v>13678165</v>
      </c>
      <c r="O12" s="9">
        <f t="shared" si="4"/>
        <v>15290140</v>
      </c>
      <c r="P12" s="9">
        <f t="shared" si="4"/>
        <v>18308109</v>
      </c>
      <c r="Q12" s="9">
        <f t="shared" si="4"/>
        <v>21445489</v>
      </c>
      <c r="R12" s="9">
        <f t="shared" si="4"/>
        <v>20811699</v>
      </c>
      <c r="S12" s="9">
        <f t="shared" si="4"/>
        <v>119056913</v>
      </c>
    </row>
    <row r="13" spans="1:19" ht="25.5" customHeight="1" hidden="1">
      <c r="A13" s="11">
        <v>8</v>
      </c>
      <c r="B13" s="93" t="s">
        <v>102</v>
      </c>
      <c r="C13" s="94"/>
      <c r="D13" s="94"/>
      <c r="E13" s="94"/>
      <c r="F13" s="94"/>
      <c r="G13" s="94"/>
      <c r="H13" s="14"/>
      <c r="I13" s="14"/>
      <c r="J13" s="33"/>
      <c r="K13" s="33"/>
      <c r="L13" s="3"/>
      <c r="M13" s="3"/>
      <c r="N13" s="3"/>
      <c r="O13" s="3"/>
      <c r="P13" s="3"/>
      <c r="Q13" s="3"/>
      <c r="R13" s="3"/>
      <c r="S13" s="3"/>
    </row>
    <row r="14" spans="1:19" ht="14.25" hidden="1">
      <c r="A14" s="11">
        <v>9</v>
      </c>
      <c r="B14" s="68" t="s">
        <v>12</v>
      </c>
      <c r="C14" s="3"/>
      <c r="D14" s="3"/>
      <c r="E14" s="3"/>
      <c r="F14" s="90" t="s">
        <v>0</v>
      </c>
      <c r="G14" s="90"/>
      <c r="H14" s="14"/>
      <c r="I14" s="14"/>
      <c r="J14" s="33"/>
      <c r="K14" s="33"/>
      <c r="L14" s="3"/>
      <c r="M14" s="3"/>
      <c r="N14" s="3"/>
      <c r="O14" s="3"/>
      <c r="P14" s="3"/>
      <c r="Q14" s="3"/>
      <c r="R14" s="3"/>
      <c r="S14" s="3"/>
    </row>
    <row r="15" spans="1:19" ht="105" hidden="1">
      <c r="A15" s="11">
        <v>10</v>
      </c>
      <c r="B15" s="69" t="s">
        <v>156</v>
      </c>
      <c r="C15" s="3" t="s">
        <v>24</v>
      </c>
      <c r="D15" s="3">
        <v>2012</v>
      </c>
      <c r="E15" s="3">
        <v>2014</v>
      </c>
      <c r="F15" s="3">
        <v>853</v>
      </c>
      <c r="G15" s="3">
        <v>85395</v>
      </c>
      <c r="H15" s="14">
        <f>SUM(I15:L15)</f>
        <v>702500</v>
      </c>
      <c r="I15" s="28">
        <v>131924.75</v>
      </c>
      <c r="J15" s="34">
        <v>320575.25</v>
      </c>
      <c r="K15" s="34"/>
      <c r="L15" s="14">
        <v>250000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14">
        <v>250000</v>
      </c>
    </row>
    <row r="16" spans="1:19" ht="26.25" customHeight="1" hidden="1">
      <c r="A16" s="11">
        <v>11</v>
      </c>
      <c r="B16" s="93" t="s">
        <v>14</v>
      </c>
      <c r="C16" s="94"/>
      <c r="D16" s="94"/>
      <c r="E16" s="94"/>
      <c r="F16" s="94"/>
      <c r="G16" s="94"/>
      <c r="H16" s="14"/>
      <c r="I16" s="14"/>
      <c r="J16" s="33"/>
      <c r="K16" s="33"/>
      <c r="L16" s="3"/>
      <c r="M16" s="3"/>
      <c r="N16" s="3"/>
      <c r="O16" s="3"/>
      <c r="P16" s="3"/>
      <c r="Q16" s="3"/>
      <c r="R16" s="3"/>
      <c r="S16" s="3"/>
    </row>
    <row r="17" spans="1:19" ht="14.25" hidden="1">
      <c r="A17" s="11">
        <v>12</v>
      </c>
      <c r="B17" s="93" t="s">
        <v>9</v>
      </c>
      <c r="C17" s="94"/>
      <c r="D17" s="94"/>
      <c r="E17" s="94"/>
      <c r="F17" s="94"/>
      <c r="G17" s="94"/>
      <c r="H17" s="14"/>
      <c r="I17" s="14"/>
      <c r="J17" s="33"/>
      <c r="K17" s="33"/>
      <c r="L17" s="3"/>
      <c r="M17" s="3"/>
      <c r="N17" s="3"/>
      <c r="O17" s="3"/>
      <c r="P17" s="3"/>
      <c r="Q17" s="3"/>
      <c r="R17" s="3"/>
      <c r="S17" s="3"/>
    </row>
    <row r="18" spans="1:19" ht="14.25" hidden="1">
      <c r="A18" s="11">
        <v>13</v>
      </c>
      <c r="B18" s="93" t="s">
        <v>10</v>
      </c>
      <c r="C18" s="94"/>
      <c r="D18" s="94"/>
      <c r="E18" s="94"/>
      <c r="F18" s="94"/>
      <c r="G18" s="94"/>
      <c r="H18" s="14"/>
      <c r="I18" s="14"/>
      <c r="J18" s="33"/>
      <c r="K18" s="33"/>
      <c r="L18" s="3"/>
      <c r="M18" s="3"/>
      <c r="N18" s="3"/>
      <c r="O18" s="3"/>
      <c r="P18" s="3"/>
      <c r="Q18" s="3"/>
      <c r="R18" s="3"/>
      <c r="S18" s="3"/>
    </row>
    <row r="19" spans="1:19" ht="14.25" hidden="1">
      <c r="A19" s="11">
        <v>14</v>
      </c>
      <c r="B19" s="68" t="s">
        <v>12</v>
      </c>
      <c r="C19" s="3"/>
      <c r="D19" s="3"/>
      <c r="E19" s="3"/>
      <c r="F19" s="90" t="s">
        <v>0</v>
      </c>
      <c r="G19" s="90"/>
      <c r="H19" s="14"/>
      <c r="I19" s="14"/>
      <c r="J19" s="33"/>
      <c r="K19" s="33"/>
      <c r="L19" s="3"/>
      <c r="M19" s="3"/>
      <c r="N19" s="3"/>
      <c r="O19" s="3"/>
      <c r="P19" s="3"/>
      <c r="Q19" s="3"/>
      <c r="R19" s="3"/>
      <c r="S19" s="3"/>
    </row>
    <row r="20" spans="1:19" ht="42.75" hidden="1">
      <c r="A20" s="11">
        <v>15</v>
      </c>
      <c r="B20" s="68" t="s">
        <v>13</v>
      </c>
      <c r="C20" s="3"/>
      <c r="D20" s="3"/>
      <c r="E20" s="3"/>
      <c r="F20" s="3"/>
      <c r="G20" s="3"/>
      <c r="H20" s="14"/>
      <c r="I20" s="14"/>
      <c r="J20" s="33"/>
      <c r="K20" s="33"/>
      <c r="L20" s="3"/>
      <c r="M20" s="3"/>
      <c r="N20" s="3"/>
      <c r="O20" s="3"/>
      <c r="P20" s="3"/>
      <c r="Q20" s="3"/>
      <c r="R20" s="3"/>
      <c r="S20" s="3"/>
    </row>
    <row r="21" spans="1:19" ht="14.25" customHeight="1" hidden="1">
      <c r="A21" s="11">
        <v>16</v>
      </c>
      <c r="B21" s="93" t="s">
        <v>15</v>
      </c>
      <c r="C21" s="94"/>
      <c r="D21" s="94"/>
      <c r="E21" s="94"/>
      <c r="F21" s="94"/>
      <c r="G21" s="94"/>
      <c r="H21" s="14">
        <f>SUM(H22)</f>
        <v>6523091</v>
      </c>
      <c r="I21" s="13">
        <f aca="true" t="shared" si="5" ref="I21:S21">SUM(I22)</f>
        <v>2608798</v>
      </c>
      <c r="J21" s="30">
        <f t="shared" si="5"/>
        <v>1399563</v>
      </c>
      <c r="K21" s="30"/>
      <c r="L21" s="13">
        <f t="shared" si="5"/>
        <v>631307</v>
      </c>
      <c r="M21" s="13">
        <f t="shared" si="5"/>
        <v>366262</v>
      </c>
      <c r="N21" s="13">
        <f t="shared" si="5"/>
        <v>216250</v>
      </c>
      <c r="O21" s="13">
        <f t="shared" si="5"/>
        <v>117171</v>
      </c>
      <c r="P21" s="13">
        <f t="shared" si="5"/>
        <v>3308727</v>
      </c>
      <c r="Q21" s="13">
        <f t="shared" si="5"/>
        <v>119119</v>
      </c>
      <c r="R21" s="13">
        <f t="shared" si="5"/>
        <v>146794</v>
      </c>
      <c r="S21" s="13">
        <f t="shared" si="5"/>
        <v>2860378</v>
      </c>
    </row>
    <row r="22" spans="1:19" s="23" customFormat="1" ht="15" hidden="1">
      <c r="A22" s="11">
        <v>17</v>
      </c>
      <c r="B22" s="93" t="s">
        <v>9</v>
      </c>
      <c r="C22" s="94"/>
      <c r="D22" s="94"/>
      <c r="E22" s="94"/>
      <c r="F22" s="94"/>
      <c r="G22" s="94"/>
      <c r="H22" s="14">
        <f>SUM(H23:H61)</f>
        <v>6523091</v>
      </c>
      <c r="I22" s="13">
        <f aca="true" t="shared" si="6" ref="I22:O22">SUM(I23:I61)</f>
        <v>2608798</v>
      </c>
      <c r="J22" s="30">
        <f t="shared" si="6"/>
        <v>1399563</v>
      </c>
      <c r="K22" s="30"/>
      <c r="L22" s="13">
        <f t="shared" si="6"/>
        <v>631307</v>
      </c>
      <c r="M22" s="13">
        <f t="shared" si="6"/>
        <v>366262</v>
      </c>
      <c r="N22" s="13">
        <f t="shared" si="6"/>
        <v>216250</v>
      </c>
      <c r="O22" s="13">
        <f t="shared" si="6"/>
        <v>117171</v>
      </c>
      <c r="P22" s="13">
        <f>SUM(P23:P61)</f>
        <v>3308727</v>
      </c>
      <c r="Q22" s="13">
        <f>SUM(Q23:Q61)</f>
        <v>119119</v>
      </c>
      <c r="R22" s="13">
        <f>SUM(R23:R61)</f>
        <v>146794</v>
      </c>
      <c r="S22" s="13">
        <f>SUM(S23:S61)</f>
        <v>2860378</v>
      </c>
    </row>
    <row r="23" spans="1:19" ht="30" hidden="1">
      <c r="A23" s="11">
        <v>18</v>
      </c>
      <c r="B23" s="69" t="s">
        <v>67</v>
      </c>
      <c r="C23" s="4" t="s">
        <v>24</v>
      </c>
      <c r="D23" s="22">
        <v>2012</v>
      </c>
      <c r="E23" s="22">
        <v>2020</v>
      </c>
      <c r="F23" s="22">
        <v>700</v>
      </c>
      <c r="G23" s="22">
        <v>70005</v>
      </c>
      <c r="H23" s="14">
        <f aca="true" t="shared" si="7" ref="H23:H28">SUM(J23:R23)</f>
        <v>206035</v>
      </c>
      <c r="I23" s="14">
        <v>0</v>
      </c>
      <c r="J23" s="35">
        <v>19469</v>
      </c>
      <c r="K23" s="35"/>
      <c r="L23" s="14">
        <v>20248</v>
      </c>
      <c r="M23" s="14">
        <v>21057</v>
      </c>
      <c r="N23" s="14">
        <v>21900</v>
      </c>
      <c r="O23" s="14">
        <v>22776</v>
      </c>
      <c r="P23" s="14">
        <v>23687</v>
      </c>
      <c r="Q23" s="14">
        <v>24634</v>
      </c>
      <c r="R23" s="14">
        <f>25620+26644</f>
        <v>52264</v>
      </c>
      <c r="S23" s="14">
        <f>SUM(J23:R23)</f>
        <v>206035</v>
      </c>
    </row>
    <row r="24" spans="1:19" ht="30" hidden="1">
      <c r="A24" s="11" t="s">
        <v>157</v>
      </c>
      <c r="B24" s="69" t="s">
        <v>158</v>
      </c>
      <c r="C24" s="4" t="s">
        <v>24</v>
      </c>
      <c r="D24" s="22">
        <v>2013</v>
      </c>
      <c r="E24" s="22">
        <v>2020</v>
      </c>
      <c r="F24" s="22">
        <v>700</v>
      </c>
      <c r="G24" s="22">
        <v>70005</v>
      </c>
      <c r="H24" s="14">
        <f t="shared" si="7"/>
        <v>10980</v>
      </c>
      <c r="I24" s="28">
        <v>0</v>
      </c>
      <c r="J24" s="34">
        <v>1215</v>
      </c>
      <c r="K24" s="34"/>
      <c r="L24" s="34">
        <v>1260</v>
      </c>
      <c r="M24" s="34">
        <v>1305</v>
      </c>
      <c r="N24" s="34">
        <v>1350</v>
      </c>
      <c r="O24" s="34">
        <v>1395</v>
      </c>
      <c r="P24" s="34">
        <v>1440</v>
      </c>
      <c r="Q24" s="34">
        <v>1485</v>
      </c>
      <c r="R24" s="34">
        <v>1530</v>
      </c>
      <c r="S24" s="31">
        <f>SUM(L24:R24)</f>
        <v>9765</v>
      </c>
    </row>
    <row r="25" spans="1:19" ht="60" hidden="1">
      <c r="A25" s="11">
        <v>19</v>
      </c>
      <c r="B25" s="70" t="s">
        <v>71</v>
      </c>
      <c r="C25" s="4" t="s">
        <v>24</v>
      </c>
      <c r="D25" s="22">
        <v>2012</v>
      </c>
      <c r="E25" s="22">
        <v>2020</v>
      </c>
      <c r="F25" s="22">
        <v>700</v>
      </c>
      <c r="G25" s="22">
        <v>70005</v>
      </c>
      <c r="H25" s="14">
        <f t="shared" si="7"/>
        <v>256000</v>
      </c>
      <c r="I25" s="14">
        <v>0</v>
      </c>
      <c r="J25" s="35">
        <v>32000</v>
      </c>
      <c r="K25" s="35"/>
      <c r="L25" s="35">
        <v>32000</v>
      </c>
      <c r="M25" s="35">
        <v>32000</v>
      </c>
      <c r="N25" s="35">
        <v>32000</v>
      </c>
      <c r="O25" s="35">
        <v>32000</v>
      </c>
      <c r="P25" s="35">
        <v>32000</v>
      </c>
      <c r="Q25" s="35">
        <v>32000</v>
      </c>
      <c r="R25" s="35">
        <v>32000</v>
      </c>
      <c r="S25" s="14">
        <f>SUM(J25:R25)</f>
        <v>256000</v>
      </c>
    </row>
    <row r="26" spans="1:19" ht="75" hidden="1">
      <c r="A26" s="11">
        <v>20</v>
      </c>
      <c r="B26" s="71" t="s">
        <v>72</v>
      </c>
      <c r="C26" s="4" t="s">
        <v>24</v>
      </c>
      <c r="D26" s="22">
        <v>2012</v>
      </c>
      <c r="E26" s="22">
        <v>2020</v>
      </c>
      <c r="F26" s="22">
        <v>700</v>
      </c>
      <c r="G26" s="22">
        <v>70005</v>
      </c>
      <c r="H26" s="14">
        <f t="shared" si="7"/>
        <v>304000</v>
      </c>
      <c r="I26" s="14">
        <v>0</v>
      </c>
      <c r="J26" s="35">
        <v>38000</v>
      </c>
      <c r="K26" s="35"/>
      <c r="L26" s="35">
        <v>38000</v>
      </c>
      <c r="M26" s="35">
        <v>38000</v>
      </c>
      <c r="N26" s="35">
        <v>38000</v>
      </c>
      <c r="O26" s="35">
        <v>38000</v>
      </c>
      <c r="P26" s="35">
        <v>38000</v>
      </c>
      <c r="Q26" s="35">
        <v>38000</v>
      </c>
      <c r="R26" s="35">
        <v>38000</v>
      </c>
      <c r="S26" s="14">
        <f>SUM(J26:R26)</f>
        <v>304000</v>
      </c>
    </row>
    <row r="27" spans="1:19" ht="45" hidden="1">
      <c r="A27" s="11">
        <v>21</v>
      </c>
      <c r="B27" s="70" t="s">
        <v>73</v>
      </c>
      <c r="C27" s="4" t="s">
        <v>24</v>
      </c>
      <c r="D27" s="22">
        <v>2012</v>
      </c>
      <c r="E27" s="22">
        <v>2020</v>
      </c>
      <c r="F27" s="22">
        <v>700</v>
      </c>
      <c r="G27" s="22">
        <v>70005</v>
      </c>
      <c r="H27" s="14">
        <f t="shared" si="7"/>
        <v>184000</v>
      </c>
      <c r="I27" s="14">
        <v>0</v>
      </c>
      <c r="J27" s="35">
        <v>23000</v>
      </c>
      <c r="K27" s="35"/>
      <c r="L27" s="35">
        <v>23000</v>
      </c>
      <c r="M27" s="35">
        <v>23000</v>
      </c>
      <c r="N27" s="35">
        <v>23000</v>
      </c>
      <c r="O27" s="35">
        <v>23000</v>
      </c>
      <c r="P27" s="35">
        <v>23000</v>
      </c>
      <c r="Q27" s="35">
        <v>23000</v>
      </c>
      <c r="R27" s="35">
        <v>23000</v>
      </c>
      <c r="S27" s="14">
        <f>SUM(J27:R27)</f>
        <v>184000</v>
      </c>
    </row>
    <row r="28" spans="1:19" ht="75" hidden="1">
      <c r="A28" s="11">
        <v>22</v>
      </c>
      <c r="B28" s="70" t="s">
        <v>74</v>
      </c>
      <c r="C28" s="4" t="s">
        <v>24</v>
      </c>
      <c r="D28" s="22">
        <v>2012</v>
      </c>
      <c r="E28" s="22">
        <v>2013</v>
      </c>
      <c r="F28" s="24" t="s">
        <v>26</v>
      </c>
      <c r="G28" s="24" t="s">
        <v>27</v>
      </c>
      <c r="H28" s="14">
        <f t="shared" si="7"/>
        <v>50000</v>
      </c>
      <c r="I28" s="14">
        <v>0</v>
      </c>
      <c r="J28" s="35">
        <v>50000</v>
      </c>
      <c r="K28" s="35"/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14">
        <f>SUM(J28:R28)</f>
        <v>50000</v>
      </c>
    </row>
    <row r="29" spans="1:19" ht="45" hidden="1">
      <c r="A29" s="11">
        <v>23</v>
      </c>
      <c r="B29" s="69" t="s">
        <v>70</v>
      </c>
      <c r="C29" s="4" t="s">
        <v>24</v>
      </c>
      <c r="D29" s="22">
        <v>2012</v>
      </c>
      <c r="E29" s="22">
        <v>2014</v>
      </c>
      <c r="F29" s="22">
        <v>710</v>
      </c>
      <c r="G29" s="22">
        <v>71004</v>
      </c>
      <c r="H29" s="14">
        <f>SUM(J29:L29)</f>
        <v>600000</v>
      </c>
      <c r="I29" s="14">
        <v>0</v>
      </c>
      <c r="J29" s="35">
        <v>400000</v>
      </c>
      <c r="K29" s="35"/>
      <c r="L29" s="35">
        <v>200000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/>
      <c r="S29" s="14">
        <v>600000</v>
      </c>
    </row>
    <row r="30" spans="1:19" ht="21.75" customHeight="1" hidden="1">
      <c r="A30" s="11">
        <v>24</v>
      </c>
      <c r="B30" s="69" t="s">
        <v>69</v>
      </c>
      <c r="C30" s="4" t="s">
        <v>24</v>
      </c>
      <c r="D30" s="22">
        <v>2011</v>
      </c>
      <c r="E30" s="22">
        <v>2012</v>
      </c>
      <c r="F30" s="22">
        <v>600</v>
      </c>
      <c r="G30" s="22">
        <v>60016</v>
      </c>
      <c r="H30" s="14">
        <f>SUM(I30:J30)</f>
        <v>400000</v>
      </c>
      <c r="I30" s="14">
        <v>100000</v>
      </c>
      <c r="J30" s="35">
        <v>300000</v>
      </c>
      <c r="K30" s="35"/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14">
        <v>300000</v>
      </c>
    </row>
    <row r="31" spans="1:19" ht="60" hidden="1">
      <c r="A31" s="11">
        <v>25</v>
      </c>
      <c r="B31" s="69" t="s">
        <v>68</v>
      </c>
      <c r="C31" s="4" t="s">
        <v>24</v>
      </c>
      <c r="D31" s="22">
        <v>2011</v>
      </c>
      <c r="E31" s="22">
        <v>2012</v>
      </c>
      <c r="F31" s="21" t="s">
        <v>26</v>
      </c>
      <c r="G31" s="21" t="s">
        <v>27</v>
      </c>
      <c r="H31" s="14">
        <f>SUM(I31:I31)</f>
        <v>1444798</v>
      </c>
      <c r="I31" s="14">
        <v>1444798</v>
      </c>
      <c r="J31" s="35">
        <v>0</v>
      </c>
      <c r="K31" s="35"/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14">
        <v>0</v>
      </c>
    </row>
    <row r="32" spans="1:19" ht="45" hidden="1">
      <c r="A32" s="11">
        <v>26</v>
      </c>
      <c r="B32" s="69" t="s">
        <v>78</v>
      </c>
      <c r="C32" s="4" t="s">
        <v>24</v>
      </c>
      <c r="D32" s="22">
        <v>2012</v>
      </c>
      <c r="E32" s="22">
        <v>2013</v>
      </c>
      <c r="F32" s="21" t="s">
        <v>79</v>
      </c>
      <c r="G32" s="21" t="s">
        <v>80</v>
      </c>
      <c r="H32" s="14">
        <f>SUM(J32:J32)</f>
        <v>7380</v>
      </c>
      <c r="I32" s="14">
        <v>0</v>
      </c>
      <c r="J32" s="35">
        <v>7380</v>
      </c>
      <c r="K32" s="35"/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14">
        <v>7380</v>
      </c>
    </row>
    <row r="33" spans="1:19" ht="25.5" hidden="1">
      <c r="A33" s="11">
        <v>27</v>
      </c>
      <c r="B33" s="69" t="s">
        <v>81</v>
      </c>
      <c r="C33" s="4" t="s">
        <v>24</v>
      </c>
      <c r="D33" s="22">
        <v>2012</v>
      </c>
      <c r="E33" s="22">
        <v>2014</v>
      </c>
      <c r="F33" s="21" t="s">
        <v>79</v>
      </c>
      <c r="G33" s="21" t="s">
        <v>80</v>
      </c>
      <c r="H33" s="14">
        <f>SUM(J33:L33)</f>
        <v>2438</v>
      </c>
      <c r="I33" s="14">
        <v>0</v>
      </c>
      <c r="J33" s="35">
        <v>1219</v>
      </c>
      <c r="K33" s="35"/>
      <c r="L33" s="35">
        <v>1219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14">
        <v>2438</v>
      </c>
    </row>
    <row r="34" spans="1:19" ht="45" hidden="1">
      <c r="A34" s="11">
        <v>28</v>
      </c>
      <c r="B34" s="69" t="s">
        <v>82</v>
      </c>
      <c r="C34" s="4" t="s">
        <v>24</v>
      </c>
      <c r="D34" s="22">
        <v>2012</v>
      </c>
      <c r="E34" s="22">
        <v>2014</v>
      </c>
      <c r="F34" s="21" t="s">
        <v>83</v>
      </c>
      <c r="G34" s="21" t="s">
        <v>84</v>
      </c>
      <c r="H34" s="14">
        <f>SUM(J34:M34)</f>
        <v>7480</v>
      </c>
      <c r="I34" s="14">
        <v>0</v>
      </c>
      <c r="J34" s="35">
        <v>3100</v>
      </c>
      <c r="K34" s="35"/>
      <c r="L34" s="35">
        <v>3480</v>
      </c>
      <c r="M34" s="35">
        <v>900</v>
      </c>
      <c r="N34" s="35">
        <v>0</v>
      </c>
      <c r="O34" s="78">
        <v>0</v>
      </c>
      <c r="P34" s="35">
        <v>0</v>
      </c>
      <c r="Q34" s="35">
        <v>0</v>
      </c>
      <c r="R34" s="35">
        <v>0</v>
      </c>
      <c r="S34" s="14">
        <v>4380</v>
      </c>
    </row>
    <row r="35" spans="1:19" ht="30" hidden="1">
      <c r="A35" s="11">
        <v>29</v>
      </c>
      <c r="B35" s="69" t="s">
        <v>85</v>
      </c>
      <c r="C35" s="4" t="s">
        <v>24</v>
      </c>
      <c r="D35" s="22">
        <v>2012</v>
      </c>
      <c r="E35" s="22">
        <v>2015</v>
      </c>
      <c r="F35" s="21" t="s">
        <v>79</v>
      </c>
      <c r="G35" s="21" t="s">
        <v>80</v>
      </c>
      <c r="H35" s="14">
        <f>SUM(J35:M35)</f>
        <v>75000</v>
      </c>
      <c r="I35" s="14">
        <v>0</v>
      </c>
      <c r="J35" s="35">
        <v>25000</v>
      </c>
      <c r="K35" s="35"/>
      <c r="L35" s="35">
        <v>25000</v>
      </c>
      <c r="M35" s="35">
        <v>25000</v>
      </c>
      <c r="N35" s="35">
        <v>0</v>
      </c>
      <c r="O35" s="78">
        <v>0</v>
      </c>
      <c r="P35" s="35">
        <v>0</v>
      </c>
      <c r="Q35" s="35">
        <v>0</v>
      </c>
      <c r="R35" s="35">
        <v>0</v>
      </c>
      <c r="S35" s="14">
        <v>75000</v>
      </c>
    </row>
    <row r="36" spans="1:19" ht="30" hidden="1">
      <c r="A36" s="11">
        <v>30</v>
      </c>
      <c r="B36" s="69" t="s">
        <v>88</v>
      </c>
      <c r="C36" s="4" t="s">
        <v>24</v>
      </c>
      <c r="D36" s="22">
        <v>2012</v>
      </c>
      <c r="E36" s="22">
        <v>2013</v>
      </c>
      <c r="F36" s="21" t="s">
        <v>86</v>
      </c>
      <c r="G36" s="21" t="s">
        <v>95</v>
      </c>
      <c r="H36" s="14">
        <f>SUM(J36:J36)</f>
        <v>96000</v>
      </c>
      <c r="I36" s="14">
        <v>0</v>
      </c>
      <c r="J36" s="35">
        <v>96000</v>
      </c>
      <c r="K36" s="35"/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14">
        <v>96000</v>
      </c>
    </row>
    <row r="37" spans="1:19" ht="30" hidden="1">
      <c r="A37" s="11">
        <v>31</v>
      </c>
      <c r="B37" s="69" t="s">
        <v>103</v>
      </c>
      <c r="C37" s="4" t="s">
        <v>24</v>
      </c>
      <c r="D37" s="22">
        <v>2012</v>
      </c>
      <c r="E37" s="22">
        <v>2013</v>
      </c>
      <c r="F37" s="21" t="s">
        <v>86</v>
      </c>
      <c r="G37" s="21" t="s">
        <v>95</v>
      </c>
      <c r="H37" s="14">
        <f>SUM(I37:J37)</f>
        <v>63200</v>
      </c>
      <c r="I37" s="14">
        <v>0</v>
      </c>
      <c r="J37" s="35">
        <v>63200</v>
      </c>
      <c r="K37" s="35"/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14">
        <v>63200</v>
      </c>
    </row>
    <row r="38" spans="1:19" ht="45" hidden="1">
      <c r="A38" s="11">
        <v>32</v>
      </c>
      <c r="B38" s="69" t="s">
        <v>104</v>
      </c>
      <c r="C38" s="4" t="s">
        <v>24</v>
      </c>
      <c r="D38" s="22">
        <v>2012</v>
      </c>
      <c r="E38" s="22">
        <v>2015</v>
      </c>
      <c r="F38" s="21" t="s">
        <v>79</v>
      </c>
      <c r="G38" s="21" t="s">
        <v>80</v>
      </c>
      <c r="H38" s="14">
        <f>SUM(I38:M38)</f>
        <v>75000</v>
      </c>
      <c r="I38" s="14">
        <v>0</v>
      </c>
      <c r="J38" s="35">
        <v>25000</v>
      </c>
      <c r="K38" s="35"/>
      <c r="L38" s="35">
        <v>25000</v>
      </c>
      <c r="M38" s="35">
        <v>25000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14">
        <v>75000</v>
      </c>
    </row>
    <row r="39" spans="1:19" ht="45" hidden="1">
      <c r="A39" s="11">
        <v>33</v>
      </c>
      <c r="B39" s="69" t="s">
        <v>89</v>
      </c>
      <c r="C39" s="4" t="s">
        <v>24</v>
      </c>
      <c r="D39" s="22">
        <v>2012</v>
      </c>
      <c r="E39" s="22">
        <v>2014</v>
      </c>
      <c r="F39" s="21" t="s">
        <v>86</v>
      </c>
      <c r="G39" s="21" t="s">
        <v>87</v>
      </c>
      <c r="H39" s="14">
        <f>SUM(J39:L39)</f>
        <v>4420</v>
      </c>
      <c r="I39" s="14">
        <v>0</v>
      </c>
      <c r="J39" s="35">
        <v>3100</v>
      </c>
      <c r="K39" s="35"/>
      <c r="L39" s="35">
        <v>1320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14">
        <v>4420</v>
      </c>
    </row>
    <row r="40" spans="1:19" ht="45" hidden="1">
      <c r="A40" s="11" t="s">
        <v>140</v>
      </c>
      <c r="B40" s="69" t="s">
        <v>141</v>
      </c>
      <c r="C40" s="4" t="s">
        <v>24</v>
      </c>
      <c r="D40" s="22">
        <v>2013</v>
      </c>
      <c r="E40" s="22">
        <v>2014</v>
      </c>
      <c r="F40" s="21" t="s">
        <v>142</v>
      </c>
      <c r="G40" s="21" t="s">
        <v>143</v>
      </c>
      <c r="H40" s="14">
        <v>7380</v>
      </c>
      <c r="I40" s="14"/>
      <c r="J40" s="35">
        <v>36900</v>
      </c>
      <c r="K40" s="35">
        <v>11070</v>
      </c>
      <c r="L40" s="35">
        <v>7380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14">
        <v>7380</v>
      </c>
    </row>
    <row r="41" spans="1:19" ht="45" hidden="1">
      <c r="A41" s="11" t="s">
        <v>144</v>
      </c>
      <c r="B41" s="69" t="s">
        <v>145</v>
      </c>
      <c r="C41" s="4" t="s">
        <v>24</v>
      </c>
      <c r="D41" s="22">
        <v>2013</v>
      </c>
      <c r="E41" s="22">
        <v>2016</v>
      </c>
      <c r="F41" s="21" t="s">
        <v>146</v>
      </c>
      <c r="G41" s="21" t="s">
        <v>147</v>
      </c>
      <c r="H41" s="14">
        <v>113000</v>
      </c>
      <c r="I41" s="14">
        <v>114000</v>
      </c>
      <c r="J41" s="35">
        <v>113000</v>
      </c>
      <c r="K41" s="35"/>
      <c r="L41" s="35">
        <v>0</v>
      </c>
      <c r="M41" s="35">
        <v>0</v>
      </c>
      <c r="N41" s="35">
        <v>0</v>
      </c>
      <c r="O41" s="35">
        <v>0</v>
      </c>
      <c r="P41" s="35">
        <v>340000</v>
      </c>
      <c r="Q41" s="35">
        <v>0</v>
      </c>
      <c r="R41" s="35">
        <v>0</v>
      </c>
      <c r="S41" s="14">
        <v>0</v>
      </c>
    </row>
    <row r="42" spans="1:19" ht="45" hidden="1">
      <c r="A42" s="11" t="s">
        <v>148</v>
      </c>
      <c r="B42" s="69" t="s">
        <v>149</v>
      </c>
      <c r="C42" s="4" t="s">
        <v>24</v>
      </c>
      <c r="D42" s="22">
        <v>2013</v>
      </c>
      <c r="E42" s="22">
        <v>2015</v>
      </c>
      <c r="F42" s="21" t="s">
        <v>150</v>
      </c>
      <c r="G42" s="21" t="s">
        <v>151</v>
      </c>
      <c r="H42" s="14">
        <v>1900000</v>
      </c>
      <c r="I42" s="14">
        <v>950000</v>
      </c>
      <c r="J42" s="35">
        <v>0</v>
      </c>
      <c r="K42" s="35"/>
      <c r="L42" s="35">
        <v>0</v>
      </c>
      <c r="M42" s="35">
        <v>0</v>
      </c>
      <c r="N42" s="35">
        <v>0</v>
      </c>
      <c r="O42" s="35">
        <v>0</v>
      </c>
      <c r="P42" s="35">
        <v>2850000</v>
      </c>
      <c r="Q42" s="35">
        <v>0</v>
      </c>
      <c r="R42" s="35">
        <v>0</v>
      </c>
      <c r="S42" s="14">
        <v>0</v>
      </c>
    </row>
    <row r="43" spans="1:19" ht="45" hidden="1">
      <c r="A43" s="11" t="s">
        <v>152</v>
      </c>
      <c r="B43" s="69" t="s">
        <v>153</v>
      </c>
      <c r="C43" s="4" t="s">
        <v>24</v>
      </c>
      <c r="D43" s="22">
        <v>2013</v>
      </c>
      <c r="E43" s="22">
        <v>2014</v>
      </c>
      <c r="F43" s="21" t="s">
        <v>154</v>
      </c>
      <c r="G43" s="21" t="s">
        <v>155</v>
      </c>
      <c r="H43" s="14">
        <v>600</v>
      </c>
      <c r="I43" s="14">
        <v>0</v>
      </c>
      <c r="J43" s="35">
        <v>0</v>
      </c>
      <c r="K43" s="35"/>
      <c r="L43" s="35">
        <v>0</v>
      </c>
      <c r="M43" s="35">
        <v>0</v>
      </c>
      <c r="N43" s="35">
        <v>0</v>
      </c>
      <c r="O43" s="35">
        <v>0</v>
      </c>
      <c r="P43" s="35">
        <v>600</v>
      </c>
      <c r="Q43" s="35">
        <v>0</v>
      </c>
      <c r="R43" s="35">
        <v>0</v>
      </c>
      <c r="S43" s="14">
        <v>0</v>
      </c>
    </row>
    <row r="44" spans="1:19" ht="45" hidden="1">
      <c r="A44" s="11">
        <v>34</v>
      </c>
      <c r="B44" s="69" t="s">
        <v>90</v>
      </c>
      <c r="C44" s="4" t="s">
        <v>24</v>
      </c>
      <c r="D44" s="22">
        <v>2012</v>
      </c>
      <c r="E44" s="22">
        <v>2014</v>
      </c>
      <c r="F44" s="21" t="s">
        <v>79</v>
      </c>
      <c r="G44" s="21" t="s">
        <v>80</v>
      </c>
      <c r="H44" s="14">
        <f>SUM(I44:L44)</f>
        <v>96000</v>
      </c>
      <c r="I44" s="14">
        <v>0</v>
      </c>
      <c r="J44" s="35">
        <v>46000</v>
      </c>
      <c r="K44" s="35"/>
      <c r="L44" s="35">
        <v>50000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14">
        <v>96000</v>
      </c>
    </row>
    <row r="45" spans="1:19" ht="60" hidden="1">
      <c r="A45" s="11">
        <v>35</v>
      </c>
      <c r="B45" s="69" t="s">
        <v>91</v>
      </c>
      <c r="C45" s="4" t="s">
        <v>24</v>
      </c>
      <c r="D45" s="22">
        <v>2012</v>
      </c>
      <c r="E45" s="22">
        <v>2013</v>
      </c>
      <c r="F45" s="21" t="s">
        <v>86</v>
      </c>
      <c r="G45" s="21" t="s">
        <v>92</v>
      </c>
      <c r="H45" s="14">
        <f aca="true" t="shared" si="8" ref="H45:H58">SUM(I45:J45)</f>
        <v>900</v>
      </c>
      <c r="I45" s="14">
        <v>0</v>
      </c>
      <c r="J45" s="35">
        <v>900</v>
      </c>
      <c r="K45" s="35"/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14">
        <v>900</v>
      </c>
    </row>
    <row r="46" spans="1:19" ht="60" hidden="1">
      <c r="A46" s="11">
        <v>36</v>
      </c>
      <c r="B46" s="69" t="s">
        <v>93</v>
      </c>
      <c r="C46" s="4" t="s">
        <v>24</v>
      </c>
      <c r="D46" s="22">
        <v>2012</v>
      </c>
      <c r="E46" s="22">
        <v>2013</v>
      </c>
      <c r="F46" s="21" t="s">
        <v>86</v>
      </c>
      <c r="G46" s="21" t="s">
        <v>92</v>
      </c>
      <c r="H46" s="14">
        <f t="shared" si="8"/>
        <v>540</v>
      </c>
      <c r="I46" s="14">
        <v>0</v>
      </c>
      <c r="J46" s="35">
        <v>540</v>
      </c>
      <c r="K46" s="35"/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14">
        <v>540</v>
      </c>
    </row>
    <row r="47" spans="1:19" ht="45" hidden="1">
      <c r="A47" s="11">
        <v>37</v>
      </c>
      <c r="B47" s="69" t="s">
        <v>105</v>
      </c>
      <c r="C47" s="4" t="s">
        <v>24</v>
      </c>
      <c r="D47" s="22">
        <v>2012</v>
      </c>
      <c r="E47" s="22">
        <v>2013</v>
      </c>
      <c r="F47" s="21" t="s">
        <v>86</v>
      </c>
      <c r="G47" s="21" t="s">
        <v>94</v>
      </c>
      <c r="H47" s="14">
        <f t="shared" si="8"/>
        <v>750</v>
      </c>
      <c r="I47" s="14">
        <v>0</v>
      </c>
      <c r="J47" s="35">
        <v>750</v>
      </c>
      <c r="K47" s="35"/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14">
        <v>750</v>
      </c>
    </row>
    <row r="48" spans="1:19" ht="45" hidden="1">
      <c r="A48" s="11">
        <v>38</v>
      </c>
      <c r="B48" s="69" t="s">
        <v>106</v>
      </c>
      <c r="C48" s="4" t="s">
        <v>24</v>
      </c>
      <c r="D48" s="22">
        <v>2012</v>
      </c>
      <c r="E48" s="22">
        <v>2013</v>
      </c>
      <c r="F48" s="21" t="s">
        <v>86</v>
      </c>
      <c r="G48" s="21" t="s">
        <v>94</v>
      </c>
      <c r="H48" s="14">
        <f t="shared" si="8"/>
        <v>250</v>
      </c>
      <c r="I48" s="14">
        <v>0</v>
      </c>
      <c r="J48" s="35">
        <v>250</v>
      </c>
      <c r="K48" s="35"/>
      <c r="L48" s="35"/>
      <c r="M48" s="35"/>
      <c r="N48" s="35"/>
      <c r="O48" s="35"/>
      <c r="P48" s="35"/>
      <c r="Q48" s="35"/>
      <c r="R48" s="35"/>
      <c r="S48" s="14">
        <v>250</v>
      </c>
    </row>
    <row r="49" spans="1:19" ht="45" hidden="1">
      <c r="A49" s="11">
        <v>39</v>
      </c>
      <c r="B49" s="69" t="s">
        <v>107</v>
      </c>
      <c r="C49" s="4" t="s">
        <v>24</v>
      </c>
      <c r="D49" s="22">
        <v>2012</v>
      </c>
      <c r="E49" s="22">
        <v>2013</v>
      </c>
      <c r="F49" s="21" t="s">
        <v>86</v>
      </c>
      <c r="G49" s="21" t="s">
        <v>94</v>
      </c>
      <c r="H49" s="14">
        <f t="shared" si="8"/>
        <v>250</v>
      </c>
      <c r="I49" s="14">
        <v>0</v>
      </c>
      <c r="J49" s="35">
        <v>250</v>
      </c>
      <c r="K49" s="35"/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14">
        <v>250</v>
      </c>
    </row>
    <row r="50" spans="1:19" ht="60" hidden="1">
      <c r="A50" s="11">
        <v>40</v>
      </c>
      <c r="B50" s="69" t="s">
        <v>108</v>
      </c>
      <c r="C50" s="4" t="s">
        <v>24</v>
      </c>
      <c r="D50" s="22">
        <v>2012</v>
      </c>
      <c r="E50" s="22">
        <v>2013</v>
      </c>
      <c r="F50" s="21" t="s">
        <v>86</v>
      </c>
      <c r="G50" s="21" t="s">
        <v>96</v>
      </c>
      <c r="H50" s="14">
        <f t="shared" si="8"/>
        <v>230</v>
      </c>
      <c r="I50" s="14">
        <v>0</v>
      </c>
      <c r="J50" s="35">
        <v>230</v>
      </c>
      <c r="K50" s="35"/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14">
        <v>230</v>
      </c>
    </row>
    <row r="51" spans="1:19" ht="45" hidden="1">
      <c r="A51" s="11">
        <v>41</v>
      </c>
      <c r="B51" s="69" t="s">
        <v>109</v>
      </c>
      <c r="C51" s="4" t="s">
        <v>24</v>
      </c>
      <c r="D51" s="22">
        <v>2012</v>
      </c>
      <c r="E51" s="22">
        <v>2013</v>
      </c>
      <c r="F51" s="21" t="s">
        <v>86</v>
      </c>
      <c r="G51" s="21" t="s">
        <v>92</v>
      </c>
      <c r="H51" s="14">
        <f t="shared" si="8"/>
        <v>320</v>
      </c>
      <c r="I51" s="14">
        <v>0</v>
      </c>
      <c r="J51" s="35">
        <v>320</v>
      </c>
      <c r="K51" s="35"/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14">
        <v>320</v>
      </c>
    </row>
    <row r="52" spans="1:19" ht="45" hidden="1">
      <c r="A52" s="11">
        <v>42</v>
      </c>
      <c r="B52" s="69" t="s">
        <v>110</v>
      </c>
      <c r="C52" s="4" t="s">
        <v>24</v>
      </c>
      <c r="D52" s="22">
        <v>2012</v>
      </c>
      <c r="E52" s="22">
        <v>2013</v>
      </c>
      <c r="F52" s="21" t="s">
        <v>86</v>
      </c>
      <c r="G52" s="21" t="s">
        <v>92</v>
      </c>
      <c r="H52" s="14">
        <f t="shared" si="8"/>
        <v>700</v>
      </c>
      <c r="I52" s="14">
        <v>0</v>
      </c>
      <c r="J52" s="35">
        <v>700</v>
      </c>
      <c r="K52" s="35"/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14">
        <v>700</v>
      </c>
    </row>
    <row r="53" spans="1:20" ht="45" hidden="1">
      <c r="A53" s="11">
        <v>43</v>
      </c>
      <c r="B53" s="69" t="s">
        <v>111</v>
      </c>
      <c r="C53" s="4" t="s">
        <v>24</v>
      </c>
      <c r="D53" s="22">
        <v>2012</v>
      </c>
      <c r="E53" s="22">
        <v>2013</v>
      </c>
      <c r="F53" s="21" t="s">
        <v>86</v>
      </c>
      <c r="G53" s="21" t="s">
        <v>92</v>
      </c>
      <c r="H53" s="14">
        <f t="shared" si="8"/>
        <v>500</v>
      </c>
      <c r="I53" s="14">
        <v>0</v>
      </c>
      <c r="J53" s="35">
        <v>500</v>
      </c>
      <c r="K53" s="35"/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14">
        <v>500</v>
      </c>
      <c r="T53" s="26"/>
    </row>
    <row r="54" spans="1:19" ht="30" hidden="1">
      <c r="A54" s="11">
        <v>44</v>
      </c>
      <c r="B54" s="69" t="s">
        <v>112</v>
      </c>
      <c r="C54" s="4" t="s">
        <v>24</v>
      </c>
      <c r="D54" s="22">
        <v>2012</v>
      </c>
      <c r="E54" s="22">
        <v>2013</v>
      </c>
      <c r="F54" s="21" t="s">
        <v>79</v>
      </c>
      <c r="G54" s="21" t="s">
        <v>80</v>
      </c>
      <c r="H54" s="14">
        <f t="shared" si="8"/>
        <v>2000</v>
      </c>
      <c r="I54" s="14">
        <v>0</v>
      </c>
      <c r="J54" s="35">
        <v>2000</v>
      </c>
      <c r="K54" s="35"/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14">
        <v>2000</v>
      </c>
    </row>
    <row r="55" spans="1:19" ht="21" customHeight="1" hidden="1">
      <c r="A55" s="11" t="s">
        <v>159</v>
      </c>
      <c r="B55" s="69" t="s">
        <v>160</v>
      </c>
      <c r="C55" s="4" t="s">
        <v>24</v>
      </c>
      <c r="D55" s="22">
        <v>2013</v>
      </c>
      <c r="E55" s="22">
        <v>2016</v>
      </c>
      <c r="F55" s="21" t="s">
        <v>79</v>
      </c>
      <c r="G55" s="21" t="s">
        <v>80</v>
      </c>
      <c r="H55" s="14">
        <f>SUM(J55:N55)</f>
        <v>600000</v>
      </c>
      <c r="I55" s="28">
        <v>0</v>
      </c>
      <c r="J55" s="79">
        <v>100000</v>
      </c>
      <c r="K55" s="79"/>
      <c r="L55" s="79">
        <v>200000</v>
      </c>
      <c r="M55" s="79">
        <v>200000</v>
      </c>
      <c r="N55" s="79">
        <v>100000</v>
      </c>
      <c r="O55" s="79">
        <v>0</v>
      </c>
      <c r="P55" s="79">
        <v>0</v>
      </c>
      <c r="Q55" s="79">
        <v>0</v>
      </c>
      <c r="R55" s="79">
        <v>0</v>
      </c>
      <c r="S55" s="28">
        <v>500000</v>
      </c>
    </row>
    <row r="56" spans="1:19" ht="45" hidden="1">
      <c r="A56" s="11">
        <v>45</v>
      </c>
      <c r="B56" s="69" t="s">
        <v>113</v>
      </c>
      <c r="C56" s="4" t="s">
        <v>24</v>
      </c>
      <c r="D56" s="22">
        <v>2012</v>
      </c>
      <c r="E56" s="22">
        <v>2013</v>
      </c>
      <c r="F56" s="21" t="s">
        <v>86</v>
      </c>
      <c r="G56" s="21" t="s">
        <v>97</v>
      </c>
      <c r="H56" s="14">
        <f t="shared" si="8"/>
        <v>500</v>
      </c>
      <c r="I56" s="14">
        <v>0</v>
      </c>
      <c r="J56" s="35">
        <v>500</v>
      </c>
      <c r="K56" s="35"/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500</v>
      </c>
    </row>
    <row r="57" spans="1:19" ht="45" hidden="1">
      <c r="A57" s="11">
        <v>46</v>
      </c>
      <c r="B57" s="69" t="s">
        <v>114</v>
      </c>
      <c r="C57" s="4" t="s">
        <v>24</v>
      </c>
      <c r="D57" s="22">
        <v>2012</v>
      </c>
      <c r="E57" s="22">
        <v>2013</v>
      </c>
      <c r="F57" s="21" t="s">
        <v>86</v>
      </c>
      <c r="G57" s="21" t="s">
        <v>97</v>
      </c>
      <c r="H57" s="14">
        <f t="shared" si="8"/>
        <v>270</v>
      </c>
      <c r="I57" s="14">
        <v>0</v>
      </c>
      <c r="J57" s="35">
        <v>270</v>
      </c>
      <c r="K57" s="35"/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270</v>
      </c>
    </row>
    <row r="58" spans="1:19" ht="30" hidden="1">
      <c r="A58" s="11">
        <v>47</v>
      </c>
      <c r="B58" s="69" t="s">
        <v>115</v>
      </c>
      <c r="C58" s="4" t="s">
        <v>24</v>
      </c>
      <c r="D58" s="22">
        <v>2012</v>
      </c>
      <c r="E58" s="22">
        <v>2013</v>
      </c>
      <c r="F58" s="21" t="s">
        <v>86</v>
      </c>
      <c r="G58" s="21" t="s">
        <v>87</v>
      </c>
      <c r="H58" s="14">
        <f t="shared" si="8"/>
        <v>750</v>
      </c>
      <c r="I58" s="14">
        <v>0</v>
      </c>
      <c r="J58" s="35">
        <v>750</v>
      </c>
      <c r="K58" s="35"/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750</v>
      </c>
    </row>
    <row r="59" spans="1:19" ht="45" hidden="1">
      <c r="A59" s="11">
        <v>48</v>
      </c>
      <c r="B59" s="69" t="s">
        <v>98</v>
      </c>
      <c r="C59" s="4" t="s">
        <v>24</v>
      </c>
      <c r="D59" s="22">
        <v>2012</v>
      </c>
      <c r="E59" s="22">
        <v>2014</v>
      </c>
      <c r="F59" s="21" t="s">
        <v>86</v>
      </c>
      <c r="G59" s="21" t="s">
        <v>92</v>
      </c>
      <c r="H59" s="14">
        <f>SUM(J59:L59)</f>
        <v>2700</v>
      </c>
      <c r="I59" s="14">
        <v>0</v>
      </c>
      <c r="J59" s="35">
        <v>1900</v>
      </c>
      <c r="K59" s="35"/>
      <c r="L59" s="14">
        <v>800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2700</v>
      </c>
    </row>
    <row r="60" spans="1:19" ht="45" hidden="1">
      <c r="A60" s="11">
        <v>49</v>
      </c>
      <c r="B60" s="69" t="s">
        <v>101</v>
      </c>
      <c r="C60" s="4" t="s">
        <v>24</v>
      </c>
      <c r="D60" s="22">
        <v>2012</v>
      </c>
      <c r="E60" s="22">
        <v>2014</v>
      </c>
      <c r="F60" s="21" t="s">
        <v>99</v>
      </c>
      <c r="G60" s="21" t="s">
        <v>100</v>
      </c>
      <c r="H60" s="14">
        <f>SUM(J60:L60)</f>
        <v>7400</v>
      </c>
      <c r="I60" s="14">
        <v>0</v>
      </c>
      <c r="J60" s="35">
        <v>4800</v>
      </c>
      <c r="K60" s="35"/>
      <c r="L60" s="14">
        <v>2600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7400</v>
      </c>
    </row>
    <row r="61" spans="1:19" ht="45" hidden="1">
      <c r="A61" s="11" t="s">
        <v>117</v>
      </c>
      <c r="B61" s="69" t="s">
        <v>118</v>
      </c>
      <c r="C61" s="4" t="s">
        <v>24</v>
      </c>
      <c r="D61" s="22">
        <v>2012</v>
      </c>
      <c r="E61" s="22">
        <v>2013</v>
      </c>
      <c r="F61" s="21" t="s">
        <v>86</v>
      </c>
      <c r="G61" s="21" t="s">
        <v>87</v>
      </c>
      <c r="H61" s="14">
        <f>SUM(J61:J61)</f>
        <v>1320</v>
      </c>
      <c r="I61" s="14">
        <v>0</v>
      </c>
      <c r="J61" s="35">
        <v>1320</v>
      </c>
      <c r="K61" s="35"/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1320</v>
      </c>
    </row>
    <row r="62" spans="1:19" ht="15" hidden="1">
      <c r="A62" s="11">
        <v>50</v>
      </c>
      <c r="B62" s="93" t="s">
        <v>10</v>
      </c>
      <c r="C62" s="94"/>
      <c r="D62" s="94"/>
      <c r="E62" s="94"/>
      <c r="F62" s="94"/>
      <c r="G62" s="94"/>
      <c r="H62" s="17">
        <f aca="true" t="shared" si="9" ref="H62:S62">H65+H72+H79+H108+H115+H128+H130+H135</f>
        <v>149757170.22</v>
      </c>
      <c r="I62" s="12">
        <f t="shared" si="9"/>
        <v>10469309.62</v>
      </c>
      <c r="J62" s="36">
        <f t="shared" si="9"/>
        <v>20587251.759999998</v>
      </c>
      <c r="K62" s="36"/>
      <c r="L62" s="7">
        <f t="shared" si="9"/>
        <v>17608465.509999998</v>
      </c>
      <c r="M62" s="7">
        <f t="shared" si="9"/>
        <v>12733592</v>
      </c>
      <c r="N62" s="7">
        <f t="shared" si="9"/>
        <v>13678165</v>
      </c>
      <c r="O62" s="7">
        <f t="shared" si="9"/>
        <v>15290140</v>
      </c>
      <c r="P62" s="7">
        <f t="shared" si="9"/>
        <v>18308109</v>
      </c>
      <c r="Q62" s="7">
        <f t="shared" si="9"/>
        <v>21445489</v>
      </c>
      <c r="R62" s="7">
        <f t="shared" si="9"/>
        <v>20811699</v>
      </c>
      <c r="S62" s="7">
        <f t="shared" si="9"/>
        <v>119056913</v>
      </c>
    </row>
    <row r="63" spans="1:19" ht="16.5" customHeight="1" hidden="1">
      <c r="A63" s="11" t="s">
        <v>162</v>
      </c>
      <c r="B63" s="69" t="s">
        <v>165</v>
      </c>
      <c r="C63" s="25" t="s">
        <v>24</v>
      </c>
      <c r="D63" s="3">
        <v>2013</v>
      </c>
      <c r="E63" s="3">
        <v>2014</v>
      </c>
      <c r="F63" s="25">
        <v>801</v>
      </c>
      <c r="G63" s="25">
        <v>80113</v>
      </c>
      <c r="H63" s="58">
        <f>SUM(J63:L63)</f>
        <v>190000</v>
      </c>
      <c r="I63" s="59"/>
      <c r="J63" s="62">
        <v>76000</v>
      </c>
      <c r="K63" s="62"/>
      <c r="L63" s="63">
        <v>114000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1">
        <v>114000</v>
      </c>
    </row>
    <row r="64" spans="1:19" ht="27" customHeight="1" hidden="1">
      <c r="A64" s="11" t="s">
        <v>163</v>
      </c>
      <c r="B64" s="69" t="s">
        <v>164</v>
      </c>
      <c r="C64" s="25" t="s">
        <v>24</v>
      </c>
      <c r="D64" s="3">
        <v>2013</v>
      </c>
      <c r="E64" s="3">
        <v>2014</v>
      </c>
      <c r="F64" s="25">
        <v>801</v>
      </c>
      <c r="G64" s="25">
        <v>80113</v>
      </c>
      <c r="H64" s="58">
        <f>SUM(J64:L64)</f>
        <v>174000</v>
      </c>
      <c r="I64" s="59"/>
      <c r="J64" s="62">
        <v>62000</v>
      </c>
      <c r="K64" s="62"/>
      <c r="L64" s="63">
        <v>112000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1">
        <v>112000</v>
      </c>
    </row>
    <row r="65" spans="1:19" ht="57" hidden="1">
      <c r="A65" s="11">
        <v>51</v>
      </c>
      <c r="B65" s="72" t="s">
        <v>168</v>
      </c>
      <c r="C65" s="4" t="s">
        <v>24</v>
      </c>
      <c r="D65" s="4">
        <v>2011</v>
      </c>
      <c r="E65" s="4">
        <v>2020</v>
      </c>
      <c r="F65" s="90" t="s">
        <v>0</v>
      </c>
      <c r="G65" s="90"/>
      <c r="H65" s="17">
        <f aca="true" t="shared" si="10" ref="H65:S65">SUM(H66:H71)</f>
        <v>7681722</v>
      </c>
      <c r="I65" s="12">
        <f t="shared" si="10"/>
        <v>735071</v>
      </c>
      <c r="J65" s="37">
        <f>SUM(J66:J71)</f>
        <v>766932</v>
      </c>
      <c r="K65" s="37"/>
      <c r="L65" s="17">
        <f t="shared" si="10"/>
        <v>569719</v>
      </c>
      <c r="M65" s="17">
        <f t="shared" si="10"/>
        <v>360000</v>
      </c>
      <c r="N65" s="17">
        <f t="shared" si="10"/>
        <v>410000</v>
      </c>
      <c r="O65" s="17">
        <f t="shared" si="10"/>
        <v>710000</v>
      </c>
      <c r="P65" s="17">
        <f t="shared" si="10"/>
        <v>1010000</v>
      </c>
      <c r="Q65" s="17">
        <f t="shared" si="10"/>
        <v>1310000</v>
      </c>
      <c r="R65" s="17">
        <f t="shared" si="10"/>
        <v>1810000</v>
      </c>
      <c r="S65" s="17">
        <f t="shared" si="10"/>
        <v>6179719</v>
      </c>
    </row>
    <row r="66" spans="1:19" ht="45" hidden="1">
      <c r="A66" s="11">
        <v>52</v>
      </c>
      <c r="B66" s="73" t="s">
        <v>25</v>
      </c>
      <c r="C66" s="4" t="s">
        <v>24</v>
      </c>
      <c r="D66" s="8">
        <v>2011</v>
      </c>
      <c r="E66" s="8">
        <v>2014</v>
      </c>
      <c r="F66" s="6" t="s">
        <v>26</v>
      </c>
      <c r="G66" s="6" t="s">
        <v>27</v>
      </c>
      <c r="H66" s="17">
        <f aca="true" t="shared" si="11" ref="H66:H71">SUM(I66:R66)</f>
        <v>50000</v>
      </c>
      <c r="I66" s="17">
        <v>0</v>
      </c>
      <c r="J66" s="37">
        <v>0</v>
      </c>
      <c r="K66" s="37"/>
      <c r="L66" s="45">
        <f>200000-150000</f>
        <v>50000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f aca="true" t="shared" si="12" ref="S66:S71">SUM(L66:R66)</f>
        <v>50000</v>
      </c>
    </row>
    <row r="67" spans="1:19" ht="50.25" customHeight="1" hidden="1">
      <c r="A67" s="11">
        <v>53</v>
      </c>
      <c r="B67" s="69" t="s">
        <v>64</v>
      </c>
      <c r="C67" s="4" t="s">
        <v>24</v>
      </c>
      <c r="D67" s="8">
        <v>2011</v>
      </c>
      <c r="E67" s="8">
        <v>2014</v>
      </c>
      <c r="F67" s="6" t="s">
        <v>26</v>
      </c>
      <c r="G67" s="6" t="s">
        <v>27</v>
      </c>
      <c r="H67" s="17">
        <f t="shared" si="11"/>
        <v>352238</v>
      </c>
      <c r="I67" s="17">
        <v>152238</v>
      </c>
      <c r="J67" s="37">
        <v>100000</v>
      </c>
      <c r="K67" s="37"/>
      <c r="L67" s="45">
        <f>500000-400000</f>
        <v>100000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f t="shared" si="12"/>
        <v>100000</v>
      </c>
    </row>
    <row r="68" spans="1:19" ht="90" hidden="1">
      <c r="A68" s="11">
        <v>54</v>
      </c>
      <c r="B68" s="69" t="s">
        <v>53</v>
      </c>
      <c r="C68" s="4" t="s">
        <v>24</v>
      </c>
      <c r="D68" s="8">
        <v>2011</v>
      </c>
      <c r="E68" s="8">
        <v>2020</v>
      </c>
      <c r="F68" s="6" t="s">
        <v>26</v>
      </c>
      <c r="G68" s="6" t="s">
        <v>27</v>
      </c>
      <c r="H68" s="17">
        <f t="shared" si="11"/>
        <v>1726078</v>
      </c>
      <c r="I68" s="17">
        <v>179359</v>
      </c>
      <c r="J68" s="45">
        <f>100000+100000+52000+35000</f>
        <v>287000</v>
      </c>
      <c r="K68" s="45"/>
      <c r="L68" s="15">
        <v>159719</v>
      </c>
      <c r="M68" s="15">
        <v>100000</v>
      </c>
      <c r="N68" s="15">
        <v>100000</v>
      </c>
      <c r="O68" s="15">
        <v>100000</v>
      </c>
      <c r="P68" s="15">
        <v>200000</v>
      </c>
      <c r="Q68" s="15">
        <v>300000</v>
      </c>
      <c r="R68" s="15">
        <v>300000</v>
      </c>
      <c r="S68" s="17">
        <f t="shared" si="12"/>
        <v>1259719</v>
      </c>
    </row>
    <row r="69" spans="1:19" ht="60" hidden="1">
      <c r="A69" s="11">
        <v>55</v>
      </c>
      <c r="B69" s="74" t="s">
        <v>28</v>
      </c>
      <c r="C69" s="4" t="s">
        <v>24</v>
      </c>
      <c r="D69" s="8">
        <v>2011</v>
      </c>
      <c r="E69" s="8">
        <v>2020</v>
      </c>
      <c r="F69" s="6" t="s">
        <v>26</v>
      </c>
      <c r="G69" s="6" t="s">
        <v>27</v>
      </c>
      <c r="H69" s="17">
        <f t="shared" si="11"/>
        <v>96230</v>
      </c>
      <c r="I69" s="17">
        <v>1230</v>
      </c>
      <c r="J69" s="45">
        <f>10000+15000</f>
        <v>25000</v>
      </c>
      <c r="K69" s="45"/>
      <c r="L69" s="15">
        <v>10000</v>
      </c>
      <c r="M69" s="15">
        <v>10000</v>
      </c>
      <c r="N69" s="15">
        <v>10000</v>
      </c>
      <c r="O69" s="15">
        <v>10000</v>
      </c>
      <c r="P69" s="15">
        <v>10000</v>
      </c>
      <c r="Q69" s="15">
        <v>10000</v>
      </c>
      <c r="R69" s="15">
        <v>10000</v>
      </c>
      <c r="S69" s="17">
        <f t="shared" si="12"/>
        <v>70000</v>
      </c>
    </row>
    <row r="70" spans="1:19" ht="45" hidden="1">
      <c r="A70" s="11">
        <v>56</v>
      </c>
      <c r="B70" s="75" t="s">
        <v>75</v>
      </c>
      <c r="C70" s="4" t="s">
        <v>24</v>
      </c>
      <c r="D70" s="8">
        <v>2011</v>
      </c>
      <c r="E70" s="8">
        <v>2013</v>
      </c>
      <c r="F70" s="6" t="s">
        <v>26</v>
      </c>
      <c r="G70" s="6" t="s">
        <v>27</v>
      </c>
      <c r="H70" s="17">
        <f t="shared" si="11"/>
        <v>157081</v>
      </c>
      <c r="I70" s="17">
        <v>87081</v>
      </c>
      <c r="J70" s="47">
        <f>100000-30000</f>
        <v>70000</v>
      </c>
      <c r="K70" s="47"/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7">
        <f t="shared" si="12"/>
        <v>0</v>
      </c>
    </row>
    <row r="71" spans="1:19" ht="120.75" customHeight="1" hidden="1">
      <c r="A71" s="11">
        <v>57</v>
      </c>
      <c r="B71" s="75" t="s">
        <v>61</v>
      </c>
      <c r="C71" s="4" t="s">
        <v>24</v>
      </c>
      <c r="D71" s="5">
        <v>2011</v>
      </c>
      <c r="E71" s="5">
        <v>2020</v>
      </c>
      <c r="F71" s="6" t="s">
        <v>26</v>
      </c>
      <c r="G71" s="6" t="s">
        <v>27</v>
      </c>
      <c r="H71" s="17">
        <f t="shared" si="11"/>
        <v>5300095</v>
      </c>
      <c r="I71" s="17">
        <v>315163</v>
      </c>
      <c r="J71" s="45">
        <f>250000+34932</f>
        <v>284932</v>
      </c>
      <c r="K71" s="45"/>
      <c r="L71" s="15">
        <v>250000</v>
      </c>
      <c r="M71" s="15">
        <v>250000</v>
      </c>
      <c r="N71" s="15">
        <v>300000</v>
      </c>
      <c r="O71" s="15">
        <v>600000</v>
      </c>
      <c r="P71" s="15">
        <v>800000</v>
      </c>
      <c r="Q71" s="15">
        <v>1000000</v>
      </c>
      <c r="R71" s="15">
        <v>1500000</v>
      </c>
      <c r="S71" s="17">
        <f t="shared" si="12"/>
        <v>4700000</v>
      </c>
    </row>
    <row r="72" spans="1:19" ht="42.75" hidden="1">
      <c r="A72" s="11">
        <v>58</v>
      </c>
      <c r="B72" s="68" t="s">
        <v>169</v>
      </c>
      <c r="C72" s="4" t="s">
        <v>24</v>
      </c>
      <c r="D72" s="4">
        <v>2011</v>
      </c>
      <c r="E72" s="4">
        <v>2020</v>
      </c>
      <c r="F72" s="90" t="s">
        <v>0</v>
      </c>
      <c r="G72" s="90"/>
      <c r="H72" s="17">
        <f aca="true" t="shared" si="13" ref="H72:S72">SUM(H73:H78)</f>
        <v>4761530.4</v>
      </c>
      <c r="I72" s="12">
        <f t="shared" si="13"/>
        <v>921635</v>
      </c>
      <c r="J72" s="37">
        <f>SUM(J73:J78)</f>
        <v>1089895.4</v>
      </c>
      <c r="K72" s="37"/>
      <c r="L72" s="17">
        <f t="shared" si="13"/>
        <v>630000</v>
      </c>
      <c r="M72" s="17">
        <f t="shared" si="13"/>
        <v>620000</v>
      </c>
      <c r="N72" s="17">
        <f t="shared" si="13"/>
        <v>110000</v>
      </c>
      <c r="O72" s="17">
        <f t="shared" si="13"/>
        <v>260000</v>
      </c>
      <c r="P72" s="17">
        <f t="shared" si="13"/>
        <v>260000</v>
      </c>
      <c r="Q72" s="17">
        <f t="shared" si="13"/>
        <v>360000</v>
      </c>
      <c r="R72" s="17">
        <f t="shared" si="13"/>
        <v>510000</v>
      </c>
      <c r="S72" s="17">
        <f t="shared" si="13"/>
        <v>2750000</v>
      </c>
    </row>
    <row r="73" spans="1:19" ht="15" customHeight="1" hidden="1">
      <c r="A73" s="11">
        <v>59</v>
      </c>
      <c r="B73" s="76" t="s">
        <v>30</v>
      </c>
      <c r="C73" s="4" t="s">
        <v>24</v>
      </c>
      <c r="D73" s="4">
        <v>2011</v>
      </c>
      <c r="E73" s="4">
        <v>2015</v>
      </c>
      <c r="F73" s="6" t="s">
        <v>26</v>
      </c>
      <c r="G73" s="6" t="s">
        <v>27</v>
      </c>
      <c r="H73" s="17">
        <f aca="true" t="shared" si="14" ref="H73:H78">SUM(I73:R73)</f>
        <v>30000</v>
      </c>
      <c r="I73" s="17">
        <v>0</v>
      </c>
      <c r="J73" s="37">
        <v>10000</v>
      </c>
      <c r="K73" s="37"/>
      <c r="L73" s="17">
        <v>10000</v>
      </c>
      <c r="M73" s="17">
        <v>10000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f aca="true" t="shared" si="15" ref="S73:S78">SUM(L73:R73)</f>
        <v>20000</v>
      </c>
    </row>
    <row r="74" spans="1:19" ht="45" hidden="1">
      <c r="A74" s="11">
        <v>60</v>
      </c>
      <c r="B74" s="76" t="s">
        <v>31</v>
      </c>
      <c r="C74" s="4" t="s">
        <v>24</v>
      </c>
      <c r="D74" s="4">
        <v>2011</v>
      </c>
      <c r="E74" s="4">
        <v>2014</v>
      </c>
      <c r="F74" s="6" t="s">
        <v>26</v>
      </c>
      <c r="G74" s="6" t="s">
        <v>27</v>
      </c>
      <c r="H74" s="17">
        <f t="shared" si="14"/>
        <v>10000</v>
      </c>
      <c r="I74" s="17">
        <v>0</v>
      </c>
      <c r="J74" s="37">
        <v>0</v>
      </c>
      <c r="K74" s="37"/>
      <c r="L74" s="45">
        <f>50000-40000</f>
        <v>10000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f t="shared" si="15"/>
        <v>10000</v>
      </c>
    </row>
    <row r="75" spans="1:19" ht="45" hidden="1">
      <c r="A75" s="11">
        <v>61</v>
      </c>
      <c r="B75" s="76" t="s">
        <v>62</v>
      </c>
      <c r="C75" s="4" t="s">
        <v>24</v>
      </c>
      <c r="D75" s="4">
        <v>2011</v>
      </c>
      <c r="E75" s="4">
        <v>2013</v>
      </c>
      <c r="F75" s="6" t="s">
        <v>26</v>
      </c>
      <c r="G75" s="6" t="s">
        <v>27</v>
      </c>
      <c r="H75" s="17">
        <f t="shared" si="14"/>
        <v>550000</v>
      </c>
      <c r="I75" s="17">
        <v>150000</v>
      </c>
      <c r="J75" s="38">
        <f>200000+200000</f>
        <v>400000</v>
      </c>
      <c r="K75" s="38"/>
      <c r="L75" s="16">
        <v>0</v>
      </c>
      <c r="M75" s="16">
        <v>0</v>
      </c>
      <c r="N75" s="16">
        <v>0</v>
      </c>
      <c r="O75" s="17">
        <v>0</v>
      </c>
      <c r="P75" s="17">
        <v>0</v>
      </c>
      <c r="Q75" s="17">
        <v>0</v>
      </c>
      <c r="R75" s="17">
        <v>0</v>
      </c>
      <c r="S75" s="17">
        <f t="shared" si="15"/>
        <v>0</v>
      </c>
    </row>
    <row r="76" spans="1:19" ht="13.5" customHeight="1" hidden="1">
      <c r="A76" s="11">
        <v>62</v>
      </c>
      <c r="B76" s="74" t="s">
        <v>32</v>
      </c>
      <c r="C76" s="4" t="s">
        <v>24</v>
      </c>
      <c r="D76" s="4">
        <v>2011</v>
      </c>
      <c r="E76" s="4">
        <v>2015</v>
      </c>
      <c r="F76" s="6" t="s">
        <v>26</v>
      </c>
      <c r="G76" s="6" t="s">
        <v>27</v>
      </c>
      <c r="H76" s="17">
        <f t="shared" si="14"/>
        <v>2081662</v>
      </c>
      <c r="I76" s="17">
        <v>581662</v>
      </c>
      <c r="J76" s="39">
        <v>500000</v>
      </c>
      <c r="K76" s="39"/>
      <c r="L76" s="16">
        <v>500000</v>
      </c>
      <c r="M76" s="16">
        <v>500000</v>
      </c>
      <c r="N76" s="16">
        <v>0</v>
      </c>
      <c r="O76" s="17">
        <v>0</v>
      </c>
      <c r="P76" s="17">
        <v>0</v>
      </c>
      <c r="Q76" s="17">
        <v>0</v>
      </c>
      <c r="R76" s="17">
        <v>0</v>
      </c>
      <c r="S76" s="17">
        <f t="shared" si="15"/>
        <v>1000000</v>
      </c>
    </row>
    <row r="77" spans="1:19" ht="40.5" customHeight="1" hidden="1">
      <c r="A77" s="11">
        <v>63</v>
      </c>
      <c r="B77" s="74" t="s">
        <v>65</v>
      </c>
      <c r="C77" s="4" t="s">
        <v>24</v>
      </c>
      <c r="D77" s="4">
        <v>2011</v>
      </c>
      <c r="E77" s="4">
        <v>2020</v>
      </c>
      <c r="F77" s="6" t="s">
        <v>26</v>
      </c>
      <c r="G77" s="6" t="s">
        <v>27</v>
      </c>
      <c r="H77" s="17">
        <f t="shared" si="14"/>
        <v>144975</v>
      </c>
      <c r="I77" s="17">
        <v>39975</v>
      </c>
      <c r="J77" s="38">
        <f>10000+10000+15000</f>
        <v>35000</v>
      </c>
      <c r="K77" s="38"/>
      <c r="L77" s="16">
        <v>10000</v>
      </c>
      <c r="M77" s="16">
        <v>10000</v>
      </c>
      <c r="N77" s="16">
        <v>10000</v>
      </c>
      <c r="O77" s="16">
        <v>10000</v>
      </c>
      <c r="P77" s="16">
        <v>10000</v>
      </c>
      <c r="Q77" s="16">
        <v>10000</v>
      </c>
      <c r="R77" s="16">
        <v>10000</v>
      </c>
      <c r="S77" s="17">
        <f t="shared" si="15"/>
        <v>70000</v>
      </c>
    </row>
    <row r="78" spans="1:19" ht="30" hidden="1">
      <c r="A78" s="11">
        <v>64</v>
      </c>
      <c r="B78" s="74" t="s">
        <v>29</v>
      </c>
      <c r="C78" s="4" t="s">
        <v>24</v>
      </c>
      <c r="D78" s="4">
        <v>2011</v>
      </c>
      <c r="E78" s="4">
        <v>2020</v>
      </c>
      <c r="F78" s="6" t="s">
        <v>26</v>
      </c>
      <c r="G78" s="6" t="s">
        <v>27</v>
      </c>
      <c r="H78" s="17">
        <f t="shared" si="14"/>
        <v>1944893.4</v>
      </c>
      <c r="I78" s="17">
        <v>149998</v>
      </c>
      <c r="J78" s="38">
        <f>100000+40000+4895.4</f>
        <v>144895.4</v>
      </c>
      <c r="K78" s="38"/>
      <c r="L78" s="16">
        <v>100000</v>
      </c>
      <c r="M78" s="16">
        <v>100000</v>
      </c>
      <c r="N78" s="16">
        <v>100000</v>
      </c>
      <c r="O78" s="16">
        <v>250000</v>
      </c>
      <c r="P78" s="16">
        <v>250000</v>
      </c>
      <c r="Q78" s="16">
        <v>350000</v>
      </c>
      <c r="R78" s="16">
        <v>500000</v>
      </c>
      <c r="S78" s="17">
        <f t="shared" si="15"/>
        <v>1650000</v>
      </c>
    </row>
    <row r="79" spans="1:19" ht="42.75">
      <c r="A79" s="11">
        <v>65</v>
      </c>
      <c r="B79" s="68" t="s">
        <v>170</v>
      </c>
      <c r="C79" s="4" t="s">
        <v>24</v>
      </c>
      <c r="D79" s="4">
        <v>2011</v>
      </c>
      <c r="E79" s="4">
        <v>2020</v>
      </c>
      <c r="F79" s="90" t="s">
        <v>0</v>
      </c>
      <c r="G79" s="90"/>
      <c r="H79" s="17">
        <f>SUM(H80:H106)</f>
        <v>74272108.19999999</v>
      </c>
      <c r="I79" s="12">
        <f>SUM(I80:I106)</f>
        <v>6529137</v>
      </c>
      <c r="J79" s="37">
        <f>SUM(J80:J106)</f>
        <v>10469379.2</v>
      </c>
      <c r="K79" s="37"/>
      <c r="L79" s="17">
        <f aca="true" t="shared" si="16" ref="L79:R79">SUM(L80:L102)</f>
        <v>8950000</v>
      </c>
      <c r="M79" s="17">
        <f t="shared" si="16"/>
        <v>8343592</v>
      </c>
      <c r="N79" s="17">
        <f t="shared" si="16"/>
        <v>8310000</v>
      </c>
      <c r="O79" s="17">
        <f t="shared" si="16"/>
        <v>8270000</v>
      </c>
      <c r="P79" s="17">
        <f t="shared" si="16"/>
        <v>9700000</v>
      </c>
      <c r="Q79" s="17">
        <f t="shared" si="16"/>
        <v>8600000</v>
      </c>
      <c r="R79" s="17">
        <f t="shared" si="16"/>
        <v>5100000</v>
      </c>
      <c r="S79" s="17">
        <f>SUM(S80:S106)</f>
        <v>57273592</v>
      </c>
    </row>
    <row r="80" spans="1:19" ht="30" hidden="1">
      <c r="A80" s="11">
        <v>66</v>
      </c>
      <c r="B80" s="74" t="s">
        <v>33</v>
      </c>
      <c r="C80" s="4" t="s">
        <v>24</v>
      </c>
      <c r="D80" s="4">
        <v>2011</v>
      </c>
      <c r="E80" s="4">
        <v>2014</v>
      </c>
      <c r="F80" s="4">
        <v>600</v>
      </c>
      <c r="G80" s="4">
        <v>60016</v>
      </c>
      <c r="H80" s="17">
        <f>SUM(I80:R80)</f>
        <v>802706</v>
      </c>
      <c r="I80" s="17">
        <v>2706</v>
      </c>
      <c r="J80" s="38">
        <f>300000+500000</f>
        <v>800000</v>
      </c>
      <c r="K80" s="38"/>
      <c r="L80" s="27">
        <f>500000-500000</f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7">
        <f>SUM(L80:R80)</f>
        <v>0</v>
      </c>
    </row>
    <row r="81" spans="1:19" ht="60" hidden="1">
      <c r="A81" s="11">
        <v>67</v>
      </c>
      <c r="B81" s="74" t="s">
        <v>56</v>
      </c>
      <c r="C81" s="4" t="s">
        <v>24</v>
      </c>
      <c r="D81" s="4">
        <v>2011</v>
      </c>
      <c r="E81" s="4">
        <v>2015</v>
      </c>
      <c r="F81" s="4">
        <v>600</v>
      </c>
      <c r="G81" s="4">
        <v>60016</v>
      </c>
      <c r="H81" s="17">
        <f aca="true" t="shared" si="17" ref="H81:H105">SUM(I81:R81)</f>
        <v>971305</v>
      </c>
      <c r="I81" s="17">
        <v>91305</v>
      </c>
      <c r="J81" s="39">
        <f>200000-20000</f>
        <v>180000</v>
      </c>
      <c r="K81" s="39"/>
      <c r="L81" s="16">
        <v>400000</v>
      </c>
      <c r="M81" s="16">
        <v>300000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7">
        <f aca="true" t="shared" si="18" ref="S81:S106">SUM(L81:R81)</f>
        <v>700000</v>
      </c>
    </row>
    <row r="82" spans="1:19" ht="45" hidden="1">
      <c r="A82" s="11" t="s">
        <v>119</v>
      </c>
      <c r="B82" s="74" t="s">
        <v>120</v>
      </c>
      <c r="C82" s="4" t="s">
        <v>24</v>
      </c>
      <c r="D82" s="4">
        <v>2012</v>
      </c>
      <c r="E82" s="4">
        <v>2013</v>
      </c>
      <c r="F82" s="4">
        <v>600</v>
      </c>
      <c r="G82" s="4">
        <v>60016</v>
      </c>
      <c r="H82" s="17">
        <f t="shared" si="17"/>
        <v>58000</v>
      </c>
      <c r="I82" s="17">
        <v>0</v>
      </c>
      <c r="J82" s="38">
        <f>20000-12000+50000</f>
        <v>58000</v>
      </c>
      <c r="K82" s="38"/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7">
        <f t="shared" si="18"/>
        <v>0</v>
      </c>
    </row>
    <row r="83" spans="1:19" ht="45" hidden="1">
      <c r="A83" s="11" t="s">
        <v>132</v>
      </c>
      <c r="B83" s="74" t="s">
        <v>131</v>
      </c>
      <c r="C83" s="4" t="s">
        <v>24</v>
      </c>
      <c r="D83" s="4">
        <v>2013</v>
      </c>
      <c r="E83" s="4">
        <v>2014</v>
      </c>
      <c r="F83" s="4">
        <v>600</v>
      </c>
      <c r="G83" s="4">
        <v>60016</v>
      </c>
      <c r="H83" s="17">
        <f t="shared" si="17"/>
        <v>570000</v>
      </c>
      <c r="I83" s="17">
        <v>0</v>
      </c>
      <c r="J83" s="38">
        <v>70000</v>
      </c>
      <c r="K83" s="38"/>
      <c r="L83" s="38">
        <v>500000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7">
        <f t="shared" si="18"/>
        <v>500000</v>
      </c>
    </row>
    <row r="84" spans="1:19" ht="105" hidden="1">
      <c r="A84" s="11">
        <v>68</v>
      </c>
      <c r="B84" s="74" t="s">
        <v>57</v>
      </c>
      <c r="C84" s="4" t="s">
        <v>24</v>
      </c>
      <c r="D84" s="4">
        <v>2011</v>
      </c>
      <c r="E84" s="4">
        <v>2019</v>
      </c>
      <c r="F84" s="4">
        <v>600</v>
      </c>
      <c r="G84" s="4">
        <v>60016</v>
      </c>
      <c r="H84" s="17">
        <f t="shared" si="17"/>
        <v>12081706</v>
      </c>
      <c r="I84" s="17">
        <v>1481706</v>
      </c>
      <c r="J84" s="39">
        <v>1000000</v>
      </c>
      <c r="K84" s="39"/>
      <c r="L84" s="16">
        <v>1200000</v>
      </c>
      <c r="M84" s="48">
        <f>2000000-600000</f>
        <v>1400000</v>
      </c>
      <c r="N84" s="48">
        <f>2000000-600000</f>
        <v>1400000</v>
      </c>
      <c r="O84" s="48">
        <f>2000000+600000</f>
        <v>2600000</v>
      </c>
      <c r="P84" s="16">
        <v>2000000</v>
      </c>
      <c r="Q84" s="16">
        <v>1000000</v>
      </c>
      <c r="R84" s="16">
        <v>0</v>
      </c>
      <c r="S84" s="17">
        <f t="shared" si="18"/>
        <v>9600000</v>
      </c>
    </row>
    <row r="85" spans="1:19" ht="75" hidden="1">
      <c r="A85" s="11">
        <v>69</v>
      </c>
      <c r="B85" s="76" t="s">
        <v>171</v>
      </c>
      <c r="C85" s="4" t="s">
        <v>24</v>
      </c>
      <c r="D85" s="4">
        <v>2011</v>
      </c>
      <c r="E85" s="4">
        <v>2020</v>
      </c>
      <c r="F85" s="4">
        <v>600</v>
      </c>
      <c r="G85" s="4">
        <v>60016</v>
      </c>
      <c r="H85" s="17">
        <f t="shared" si="17"/>
        <v>17599305</v>
      </c>
      <c r="I85" s="17">
        <v>1479305</v>
      </c>
      <c r="J85" s="38">
        <f>800000+300000</f>
        <v>1100000</v>
      </c>
      <c r="K85" s="38"/>
      <c r="L85" s="16">
        <v>1000000</v>
      </c>
      <c r="M85" s="48">
        <f>2000000-760000</f>
        <v>1240000</v>
      </c>
      <c r="N85" s="48">
        <f>3000000-740000</f>
        <v>2260000</v>
      </c>
      <c r="O85" s="48">
        <f>3000000+520000</f>
        <v>3520000</v>
      </c>
      <c r="P85" s="16">
        <v>3000000</v>
      </c>
      <c r="Q85" s="16">
        <v>3000000</v>
      </c>
      <c r="R85" s="16">
        <v>1000000</v>
      </c>
      <c r="S85" s="17">
        <f t="shared" si="18"/>
        <v>15020000</v>
      </c>
    </row>
    <row r="86" spans="1:19" ht="39.75" customHeight="1" hidden="1">
      <c r="A86" s="11">
        <v>70</v>
      </c>
      <c r="B86" s="74" t="s">
        <v>122</v>
      </c>
      <c r="C86" s="4" t="s">
        <v>24</v>
      </c>
      <c r="D86" s="4">
        <v>2011</v>
      </c>
      <c r="E86" s="4">
        <v>2016</v>
      </c>
      <c r="F86" s="4">
        <v>600</v>
      </c>
      <c r="G86" s="4">
        <v>60016</v>
      </c>
      <c r="H86" s="17">
        <f t="shared" si="17"/>
        <v>1704300.3</v>
      </c>
      <c r="I86" s="17">
        <v>199067</v>
      </c>
      <c r="J86" s="38">
        <f>200000+5233.3</f>
        <v>205233.3</v>
      </c>
      <c r="K86" s="38"/>
      <c r="L86" s="16">
        <v>300000</v>
      </c>
      <c r="M86" s="16">
        <v>500000</v>
      </c>
      <c r="N86" s="16">
        <v>500000</v>
      </c>
      <c r="O86" s="16">
        <v>0</v>
      </c>
      <c r="P86" s="16">
        <v>0</v>
      </c>
      <c r="Q86" s="16">
        <v>0</v>
      </c>
      <c r="R86" s="16">
        <v>0</v>
      </c>
      <c r="S86" s="17">
        <f t="shared" si="18"/>
        <v>1300000</v>
      </c>
    </row>
    <row r="87" spans="1:19" ht="30" hidden="1">
      <c r="A87" s="11" t="s">
        <v>133</v>
      </c>
      <c r="B87" s="74" t="s">
        <v>130</v>
      </c>
      <c r="C87" s="4" t="s">
        <v>24</v>
      </c>
      <c r="D87" s="4">
        <v>2013</v>
      </c>
      <c r="E87" s="4">
        <v>2014</v>
      </c>
      <c r="F87" s="4">
        <v>600</v>
      </c>
      <c r="G87" s="4">
        <v>60016</v>
      </c>
      <c r="H87" s="17">
        <f t="shared" si="17"/>
        <v>740000</v>
      </c>
      <c r="I87" s="17">
        <v>0</v>
      </c>
      <c r="J87" s="38">
        <v>440000</v>
      </c>
      <c r="K87" s="38"/>
      <c r="L87" s="38">
        <v>300000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7">
        <f t="shared" si="18"/>
        <v>300000</v>
      </c>
    </row>
    <row r="88" spans="1:19" ht="30" hidden="1">
      <c r="A88" s="11" t="s">
        <v>134</v>
      </c>
      <c r="B88" s="74" t="s">
        <v>166</v>
      </c>
      <c r="C88" s="4" t="s">
        <v>24</v>
      </c>
      <c r="D88" s="4">
        <v>2013</v>
      </c>
      <c r="E88" s="4">
        <v>2014</v>
      </c>
      <c r="F88" s="4">
        <v>600</v>
      </c>
      <c r="G88" s="4">
        <v>60016</v>
      </c>
      <c r="H88" s="17">
        <f t="shared" si="17"/>
        <v>100000</v>
      </c>
      <c r="I88" s="17">
        <v>0</v>
      </c>
      <c r="J88" s="38">
        <v>60000</v>
      </c>
      <c r="K88" s="38"/>
      <c r="L88" s="38">
        <v>40000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7">
        <f t="shared" si="18"/>
        <v>40000</v>
      </c>
    </row>
    <row r="89" spans="1:19" ht="45" hidden="1">
      <c r="A89" s="11">
        <v>71</v>
      </c>
      <c r="B89" s="74" t="s">
        <v>34</v>
      </c>
      <c r="C89" s="4" t="s">
        <v>24</v>
      </c>
      <c r="D89" s="4">
        <v>2011</v>
      </c>
      <c r="E89" s="4">
        <v>2016</v>
      </c>
      <c r="F89" s="4">
        <v>600</v>
      </c>
      <c r="G89" s="4">
        <v>60016</v>
      </c>
      <c r="H89" s="17">
        <f t="shared" si="17"/>
        <v>1420891</v>
      </c>
      <c r="I89" s="17">
        <v>46537</v>
      </c>
      <c r="J89" s="38">
        <f>350000+24354</f>
        <v>374354</v>
      </c>
      <c r="K89" s="38"/>
      <c r="L89" s="16">
        <v>200000</v>
      </c>
      <c r="M89" s="16">
        <v>400000</v>
      </c>
      <c r="N89" s="16">
        <v>400000</v>
      </c>
      <c r="O89" s="16">
        <v>0</v>
      </c>
      <c r="P89" s="16">
        <v>0</v>
      </c>
      <c r="Q89" s="16">
        <v>0</v>
      </c>
      <c r="R89" s="16">
        <v>0</v>
      </c>
      <c r="S89" s="17">
        <f t="shared" si="18"/>
        <v>1000000</v>
      </c>
    </row>
    <row r="90" spans="1:19" ht="30" hidden="1">
      <c r="A90" s="11">
        <v>72</v>
      </c>
      <c r="B90" s="74" t="s">
        <v>172</v>
      </c>
      <c r="C90" s="4" t="s">
        <v>24</v>
      </c>
      <c r="D90" s="4">
        <v>2011</v>
      </c>
      <c r="E90" s="4">
        <v>2014</v>
      </c>
      <c r="F90" s="4">
        <v>600</v>
      </c>
      <c r="G90" s="4">
        <v>60016</v>
      </c>
      <c r="H90" s="17">
        <f t="shared" si="17"/>
        <v>1328992</v>
      </c>
      <c r="I90" s="17">
        <v>377792</v>
      </c>
      <c r="J90" s="38">
        <f>100000+42000+460000+49200</f>
        <v>651200</v>
      </c>
      <c r="K90" s="38"/>
      <c r="L90" s="16">
        <v>300000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7">
        <f t="shared" si="18"/>
        <v>300000</v>
      </c>
    </row>
    <row r="91" spans="1:19" ht="30" hidden="1">
      <c r="A91" s="11">
        <v>73</v>
      </c>
      <c r="B91" s="74" t="s">
        <v>35</v>
      </c>
      <c r="C91" s="4" t="s">
        <v>24</v>
      </c>
      <c r="D91" s="4">
        <v>2011</v>
      </c>
      <c r="E91" s="4">
        <v>2020</v>
      </c>
      <c r="F91" s="4">
        <v>600</v>
      </c>
      <c r="G91" s="4">
        <v>60016</v>
      </c>
      <c r="H91" s="17">
        <f t="shared" si="17"/>
        <v>7820000</v>
      </c>
      <c r="I91" s="17">
        <v>0</v>
      </c>
      <c r="J91" s="39">
        <v>10000</v>
      </c>
      <c r="K91" s="39"/>
      <c r="L91" s="16">
        <v>10000</v>
      </c>
      <c r="M91" s="16">
        <v>300000</v>
      </c>
      <c r="N91" s="16">
        <v>500000</v>
      </c>
      <c r="O91" s="16">
        <f>1000000-500000</f>
        <v>500000</v>
      </c>
      <c r="P91" s="16">
        <v>2000000</v>
      </c>
      <c r="Q91" s="16">
        <v>2000000</v>
      </c>
      <c r="R91" s="16">
        <v>2500000</v>
      </c>
      <c r="S91" s="17">
        <f t="shared" si="18"/>
        <v>7810000</v>
      </c>
    </row>
    <row r="92" spans="1:19" ht="38.25" customHeight="1" hidden="1">
      <c r="A92" s="11">
        <v>74</v>
      </c>
      <c r="B92" s="74" t="s">
        <v>58</v>
      </c>
      <c r="C92" s="4" t="s">
        <v>24</v>
      </c>
      <c r="D92" s="4">
        <v>2011</v>
      </c>
      <c r="E92" s="4">
        <v>2020</v>
      </c>
      <c r="F92" s="4">
        <v>600</v>
      </c>
      <c r="G92" s="4">
        <v>60016</v>
      </c>
      <c r="H92" s="17">
        <f t="shared" si="17"/>
        <v>7625399</v>
      </c>
      <c r="I92" s="17">
        <v>225399</v>
      </c>
      <c r="J92" s="39">
        <v>500000</v>
      </c>
      <c r="K92" s="39"/>
      <c r="L92" s="16">
        <v>400000</v>
      </c>
      <c r="M92" s="16">
        <v>500000</v>
      </c>
      <c r="N92" s="16">
        <v>500000</v>
      </c>
      <c r="O92" s="16">
        <f>1000000-500000</f>
        <v>500000</v>
      </c>
      <c r="P92" s="16">
        <v>2000000</v>
      </c>
      <c r="Q92" s="16">
        <v>2000000</v>
      </c>
      <c r="R92" s="16">
        <v>1000000</v>
      </c>
      <c r="S92" s="17">
        <f t="shared" si="18"/>
        <v>6900000</v>
      </c>
    </row>
    <row r="93" spans="1:19" ht="120" hidden="1">
      <c r="A93" s="11">
        <v>75</v>
      </c>
      <c r="B93" s="74" t="s">
        <v>139</v>
      </c>
      <c r="C93" s="4" t="s">
        <v>24</v>
      </c>
      <c r="D93" s="4">
        <v>2011</v>
      </c>
      <c r="E93" s="4">
        <v>2015</v>
      </c>
      <c r="F93" s="4">
        <v>600</v>
      </c>
      <c r="G93" s="4">
        <v>60016</v>
      </c>
      <c r="H93" s="17">
        <f>SUM(I93:R93)</f>
        <v>4056268</v>
      </c>
      <c r="I93" s="17">
        <v>2142300</v>
      </c>
      <c r="J93" s="38">
        <f>0+10376</f>
        <v>10376</v>
      </c>
      <c r="K93" s="38"/>
      <c r="L93" s="16">
        <v>1000000</v>
      </c>
      <c r="M93" s="16">
        <f>1000000-96408</f>
        <v>903592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7">
        <f t="shared" si="18"/>
        <v>1903592</v>
      </c>
    </row>
    <row r="94" spans="1:19" ht="30" hidden="1">
      <c r="A94" s="11">
        <v>76</v>
      </c>
      <c r="B94" s="74" t="s">
        <v>36</v>
      </c>
      <c r="C94" s="4" t="s">
        <v>24</v>
      </c>
      <c r="D94" s="4">
        <v>2011</v>
      </c>
      <c r="E94" s="4">
        <v>2017</v>
      </c>
      <c r="F94" s="4">
        <v>600</v>
      </c>
      <c r="G94" s="4">
        <v>60016</v>
      </c>
      <c r="H94" s="17">
        <f t="shared" si="17"/>
        <v>210000</v>
      </c>
      <c r="I94" s="17">
        <v>0</v>
      </c>
      <c r="J94" s="39">
        <f>20000-10000</f>
        <v>10000</v>
      </c>
      <c r="K94" s="39"/>
      <c r="L94" s="16">
        <v>50000</v>
      </c>
      <c r="M94" s="16">
        <v>50000</v>
      </c>
      <c r="N94" s="16">
        <v>50000</v>
      </c>
      <c r="O94" s="16">
        <v>50000</v>
      </c>
      <c r="P94" s="16">
        <v>0</v>
      </c>
      <c r="Q94" s="16">
        <v>0</v>
      </c>
      <c r="R94" s="16">
        <v>0</v>
      </c>
      <c r="S94" s="17">
        <f t="shared" si="18"/>
        <v>200000</v>
      </c>
    </row>
    <row r="95" spans="1:19" ht="30">
      <c r="A95" s="11">
        <v>77</v>
      </c>
      <c r="B95" s="74" t="s">
        <v>123</v>
      </c>
      <c r="C95" s="4" t="s">
        <v>24</v>
      </c>
      <c r="D95" s="4">
        <v>2013</v>
      </c>
      <c r="E95" s="4">
        <v>2015</v>
      </c>
      <c r="F95" s="4">
        <v>600</v>
      </c>
      <c r="G95" s="4">
        <v>60016</v>
      </c>
      <c r="H95" s="17">
        <f t="shared" si="17"/>
        <v>1800000</v>
      </c>
      <c r="I95" s="17">
        <v>0</v>
      </c>
      <c r="J95" s="49">
        <v>850000</v>
      </c>
      <c r="K95" s="39"/>
      <c r="L95" s="81">
        <v>450000</v>
      </c>
      <c r="M95" s="16">
        <v>500000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7">
        <f t="shared" si="18"/>
        <v>950000</v>
      </c>
    </row>
    <row r="96" spans="1:19" ht="45" hidden="1">
      <c r="A96" s="11">
        <v>78</v>
      </c>
      <c r="B96" s="74" t="s">
        <v>63</v>
      </c>
      <c r="C96" s="4" t="s">
        <v>24</v>
      </c>
      <c r="D96" s="4">
        <v>2011</v>
      </c>
      <c r="E96" s="4">
        <v>2015</v>
      </c>
      <c r="F96" s="4">
        <v>600</v>
      </c>
      <c r="G96" s="4">
        <v>60016</v>
      </c>
      <c r="H96" s="17">
        <f t="shared" si="17"/>
        <v>2085000</v>
      </c>
      <c r="I96" s="17">
        <v>0</v>
      </c>
      <c r="J96" s="39">
        <f>700000-15000</f>
        <v>685000</v>
      </c>
      <c r="K96" s="39"/>
      <c r="L96" s="16">
        <v>900000</v>
      </c>
      <c r="M96" s="16">
        <v>500000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7">
        <f t="shared" si="18"/>
        <v>1400000</v>
      </c>
    </row>
    <row r="97" spans="1:19" ht="30" hidden="1">
      <c r="A97" s="11">
        <v>79</v>
      </c>
      <c r="B97" s="74" t="s">
        <v>59</v>
      </c>
      <c r="C97" s="4" t="s">
        <v>24</v>
      </c>
      <c r="D97" s="4">
        <v>2011</v>
      </c>
      <c r="E97" s="4">
        <v>2016</v>
      </c>
      <c r="F97" s="4">
        <v>600</v>
      </c>
      <c r="G97" s="4">
        <v>60016</v>
      </c>
      <c r="H97" s="17">
        <f t="shared" si="17"/>
        <v>1038698</v>
      </c>
      <c r="I97" s="17">
        <v>38698</v>
      </c>
      <c r="J97" s="39">
        <v>0</v>
      </c>
      <c r="K97" s="39"/>
      <c r="L97" s="16">
        <v>0</v>
      </c>
      <c r="M97" s="16">
        <v>200000</v>
      </c>
      <c r="N97" s="16">
        <v>800000</v>
      </c>
      <c r="O97" s="17">
        <v>0</v>
      </c>
      <c r="P97" s="17">
        <v>0</v>
      </c>
      <c r="Q97" s="17">
        <v>0</v>
      </c>
      <c r="R97" s="17">
        <v>0</v>
      </c>
      <c r="S97" s="17">
        <f t="shared" si="18"/>
        <v>1000000</v>
      </c>
    </row>
    <row r="98" spans="1:19" ht="30" hidden="1">
      <c r="A98" s="11">
        <v>80</v>
      </c>
      <c r="B98" s="74" t="s">
        <v>60</v>
      </c>
      <c r="C98" s="4" t="s">
        <v>24</v>
      </c>
      <c r="D98" s="4">
        <v>2011</v>
      </c>
      <c r="E98" s="4">
        <v>2016</v>
      </c>
      <c r="F98" s="4">
        <v>600</v>
      </c>
      <c r="G98" s="4">
        <v>60016</v>
      </c>
      <c r="H98" s="17">
        <f t="shared" si="17"/>
        <v>1634290</v>
      </c>
      <c r="I98" s="17">
        <v>54290</v>
      </c>
      <c r="J98" s="39">
        <v>80000</v>
      </c>
      <c r="K98" s="39"/>
      <c r="L98" s="16">
        <v>500000</v>
      </c>
      <c r="M98" s="16">
        <v>500000</v>
      </c>
      <c r="N98" s="16">
        <v>500000</v>
      </c>
      <c r="O98" s="17">
        <v>0</v>
      </c>
      <c r="P98" s="17">
        <v>0</v>
      </c>
      <c r="Q98" s="17">
        <v>0</v>
      </c>
      <c r="R98" s="17">
        <v>0</v>
      </c>
      <c r="S98" s="17">
        <f t="shared" si="18"/>
        <v>1500000</v>
      </c>
    </row>
    <row r="99" spans="1:19" ht="73.5" customHeight="1" hidden="1">
      <c r="A99" s="11">
        <v>81</v>
      </c>
      <c r="B99" s="74" t="s">
        <v>126</v>
      </c>
      <c r="C99" s="4" t="s">
        <v>24</v>
      </c>
      <c r="D99" s="4">
        <v>2011</v>
      </c>
      <c r="E99" s="4">
        <v>2018</v>
      </c>
      <c r="F99" s="4">
        <v>600</v>
      </c>
      <c r="G99" s="4">
        <v>60016</v>
      </c>
      <c r="H99" s="17">
        <f t="shared" si="17"/>
        <v>2632534.9</v>
      </c>
      <c r="I99" s="17">
        <v>100032</v>
      </c>
      <c r="J99" s="38">
        <f>400000+32502.9-150000</f>
        <v>282502.9</v>
      </c>
      <c r="K99" s="38"/>
      <c r="L99" s="16">
        <v>300000</v>
      </c>
      <c r="M99" s="16">
        <v>450000</v>
      </c>
      <c r="N99" s="16">
        <v>500000</v>
      </c>
      <c r="O99" s="16">
        <v>500000</v>
      </c>
      <c r="P99" s="16">
        <v>500000</v>
      </c>
      <c r="Q99" s="17">
        <v>0</v>
      </c>
      <c r="R99" s="17">
        <v>0</v>
      </c>
      <c r="S99" s="17">
        <f t="shared" si="18"/>
        <v>2250000</v>
      </c>
    </row>
    <row r="100" spans="1:19" ht="15.75" customHeight="1" hidden="1">
      <c r="A100" s="11">
        <v>82</v>
      </c>
      <c r="B100" s="74" t="s">
        <v>124</v>
      </c>
      <c r="C100" s="4" t="s">
        <v>24</v>
      </c>
      <c r="D100" s="4">
        <v>2013</v>
      </c>
      <c r="E100" s="4">
        <v>2014</v>
      </c>
      <c r="F100" s="4">
        <v>600</v>
      </c>
      <c r="G100" s="4">
        <v>60016</v>
      </c>
      <c r="H100" s="17">
        <f t="shared" si="17"/>
        <v>1250000</v>
      </c>
      <c r="I100" s="17">
        <v>0</v>
      </c>
      <c r="J100" s="39">
        <v>650000</v>
      </c>
      <c r="K100" s="39"/>
      <c r="L100" s="16">
        <v>600000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7">
        <f t="shared" si="18"/>
        <v>600000</v>
      </c>
    </row>
    <row r="101" spans="1:19" ht="60" hidden="1">
      <c r="A101" s="11">
        <v>83</v>
      </c>
      <c r="B101" s="75" t="s">
        <v>121</v>
      </c>
      <c r="C101" s="4" t="s">
        <v>24</v>
      </c>
      <c r="D101" s="4">
        <v>2011</v>
      </c>
      <c r="E101" s="4">
        <v>2017</v>
      </c>
      <c r="F101" s="4">
        <v>600</v>
      </c>
      <c r="G101" s="4">
        <v>60016</v>
      </c>
      <c r="H101" s="17">
        <f t="shared" si="17"/>
        <v>3450000</v>
      </c>
      <c r="I101" s="17">
        <v>150000</v>
      </c>
      <c r="J101" s="38">
        <f>600000+500000</f>
        <v>1100000</v>
      </c>
      <c r="K101" s="38"/>
      <c r="L101" s="16">
        <v>400000</v>
      </c>
      <c r="M101" s="16">
        <v>500000</v>
      </c>
      <c r="N101" s="16">
        <v>800000</v>
      </c>
      <c r="O101" s="16">
        <v>500000</v>
      </c>
      <c r="P101" s="16">
        <v>0</v>
      </c>
      <c r="Q101" s="17">
        <v>0</v>
      </c>
      <c r="R101" s="17">
        <v>0</v>
      </c>
      <c r="S101" s="17">
        <f t="shared" si="18"/>
        <v>2200000</v>
      </c>
    </row>
    <row r="102" spans="1:19" ht="17.25" customHeight="1" hidden="1">
      <c r="A102" s="11">
        <v>84</v>
      </c>
      <c r="B102" s="74" t="s">
        <v>37</v>
      </c>
      <c r="C102" s="4" t="s">
        <v>24</v>
      </c>
      <c r="D102" s="4">
        <v>2011</v>
      </c>
      <c r="E102" s="4">
        <v>2020</v>
      </c>
      <c r="F102" s="4">
        <v>600</v>
      </c>
      <c r="G102" s="4">
        <v>60016</v>
      </c>
      <c r="H102" s="17">
        <f t="shared" si="17"/>
        <v>1974000</v>
      </c>
      <c r="I102" s="17">
        <v>140000</v>
      </c>
      <c r="J102" s="39">
        <f>50000-16000</f>
        <v>34000</v>
      </c>
      <c r="K102" s="39"/>
      <c r="L102" s="16">
        <v>100000</v>
      </c>
      <c r="M102" s="16">
        <v>100000</v>
      </c>
      <c r="N102" s="16">
        <v>100000</v>
      </c>
      <c r="O102" s="16">
        <v>100000</v>
      </c>
      <c r="P102" s="16">
        <v>200000</v>
      </c>
      <c r="Q102" s="16">
        <v>600000</v>
      </c>
      <c r="R102" s="16">
        <v>600000</v>
      </c>
      <c r="S102" s="17">
        <f t="shared" si="18"/>
        <v>1800000</v>
      </c>
    </row>
    <row r="103" spans="1:19" ht="26.25" customHeight="1" hidden="1">
      <c r="A103" s="11">
        <v>85</v>
      </c>
      <c r="B103" s="74" t="s">
        <v>76</v>
      </c>
      <c r="C103" s="4" t="s">
        <v>24</v>
      </c>
      <c r="D103" s="4">
        <v>2013</v>
      </c>
      <c r="E103" s="4">
        <v>2013</v>
      </c>
      <c r="F103" s="4">
        <v>600</v>
      </c>
      <c r="G103" s="4">
        <v>60016</v>
      </c>
      <c r="H103" s="17">
        <f t="shared" si="17"/>
        <v>16000</v>
      </c>
      <c r="I103" s="17">
        <v>0</v>
      </c>
      <c r="J103" s="38">
        <f>60000-44000</f>
        <v>16000</v>
      </c>
      <c r="K103" s="38"/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7">
        <f t="shared" si="18"/>
        <v>0</v>
      </c>
    </row>
    <row r="104" spans="1:19" ht="27" customHeight="1" hidden="1">
      <c r="A104" s="11">
        <v>86</v>
      </c>
      <c r="B104" s="74" t="s">
        <v>77</v>
      </c>
      <c r="C104" s="4" t="s">
        <v>24</v>
      </c>
      <c r="D104" s="4">
        <v>2012</v>
      </c>
      <c r="E104" s="4">
        <v>2013</v>
      </c>
      <c r="F104" s="4">
        <v>600</v>
      </c>
      <c r="G104" s="4">
        <v>60016</v>
      </c>
      <c r="H104" s="17">
        <f t="shared" si="17"/>
        <v>610000</v>
      </c>
      <c r="I104" s="17">
        <v>0</v>
      </c>
      <c r="J104" s="38">
        <f>250000+360000</f>
        <v>610000</v>
      </c>
      <c r="K104" s="38"/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7">
        <f t="shared" si="18"/>
        <v>0</v>
      </c>
    </row>
    <row r="105" spans="1:19" ht="45" hidden="1">
      <c r="A105" s="11">
        <v>87</v>
      </c>
      <c r="B105" s="74" t="s">
        <v>116</v>
      </c>
      <c r="C105" s="4" t="s">
        <v>24</v>
      </c>
      <c r="D105" s="4">
        <v>2012</v>
      </c>
      <c r="E105" s="4">
        <v>2013</v>
      </c>
      <c r="F105" s="4">
        <v>600</v>
      </c>
      <c r="G105" s="4">
        <v>60016</v>
      </c>
      <c r="H105" s="17">
        <f t="shared" si="17"/>
        <v>42713</v>
      </c>
      <c r="I105" s="17">
        <v>0</v>
      </c>
      <c r="J105" s="38">
        <f>115000-90000-25000+42713</f>
        <v>42713</v>
      </c>
      <c r="K105" s="38"/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7">
        <f t="shared" si="18"/>
        <v>0</v>
      </c>
    </row>
    <row r="106" spans="1:19" ht="60">
      <c r="A106" s="11">
        <v>88</v>
      </c>
      <c r="B106" s="80" t="s">
        <v>182</v>
      </c>
      <c r="C106" s="4" t="s">
        <v>24</v>
      </c>
      <c r="D106" s="4">
        <v>2011</v>
      </c>
      <c r="E106" s="4">
        <v>2013</v>
      </c>
      <c r="F106" s="4">
        <v>600</v>
      </c>
      <c r="G106" s="4">
        <v>60014</v>
      </c>
      <c r="H106" s="17">
        <f>SUM(I106:R106)</f>
        <v>650000</v>
      </c>
      <c r="I106" s="17">
        <v>0</v>
      </c>
      <c r="J106" s="39">
        <v>650000</v>
      </c>
      <c r="K106" s="40"/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7">
        <f t="shared" si="18"/>
        <v>0</v>
      </c>
    </row>
    <row r="107" spans="1:19" ht="89.25" customHeight="1">
      <c r="A107" s="11" t="s">
        <v>181</v>
      </c>
      <c r="B107" s="80" t="s">
        <v>180</v>
      </c>
      <c r="C107" s="4" t="s">
        <v>24</v>
      </c>
      <c r="D107" s="4">
        <v>2013</v>
      </c>
      <c r="E107" s="4">
        <v>2014</v>
      </c>
      <c r="F107" s="4"/>
      <c r="G107" s="4"/>
      <c r="H107" s="17">
        <f>SUM(I107:R107)</f>
        <v>970000</v>
      </c>
      <c r="I107" s="17"/>
      <c r="J107" s="39">
        <v>920000</v>
      </c>
      <c r="K107" s="40"/>
      <c r="L107" s="81">
        <v>50000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7">
        <v>50000</v>
      </c>
    </row>
    <row r="108" spans="1:19" ht="54" customHeight="1" hidden="1">
      <c r="A108" s="11">
        <v>89</v>
      </c>
      <c r="B108" s="68" t="s">
        <v>173</v>
      </c>
      <c r="C108" s="4" t="s">
        <v>24</v>
      </c>
      <c r="D108" s="4">
        <v>2011</v>
      </c>
      <c r="E108" s="4">
        <v>2020</v>
      </c>
      <c r="F108" s="90" t="s">
        <v>0</v>
      </c>
      <c r="G108" s="90"/>
      <c r="H108" s="17">
        <f>SUM(H109:H113)</f>
        <v>16599290</v>
      </c>
      <c r="I108" s="12">
        <f>SUM(I109:I113)</f>
        <v>1514562</v>
      </c>
      <c r="J108" s="37">
        <f>SUM(J109:J114)</f>
        <v>1864728</v>
      </c>
      <c r="K108" s="37"/>
      <c r="L108" s="17">
        <f>SUM(L109:L114)</f>
        <v>2270000</v>
      </c>
      <c r="M108" s="17">
        <f>SUM(M109:M114)</f>
        <v>2280000</v>
      </c>
      <c r="N108" s="17">
        <f>SUM(N109:N114)</f>
        <v>2240000</v>
      </c>
      <c r="O108" s="17">
        <f>SUM(O109:O113)</f>
        <v>1180000</v>
      </c>
      <c r="P108" s="17">
        <f>SUM(P109:P113)</f>
        <v>800000</v>
      </c>
      <c r="Q108" s="17">
        <f>SUM(Q109:Q113)</f>
        <v>1600000</v>
      </c>
      <c r="R108" s="17">
        <f>SUM(R109:R113)</f>
        <v>4000000</v>
      </c>
      <c r="S108" s="17">
        <f>SUM(S109:S113)</f>
        <v>13570000</v>
      </c>
    </row>
    <row r="109" spans="1:19" ht="30" hidden="1">
      <c r="A109" s="11">
        <v>90</v>
      </c>
      <c r="B109" s="74" t="s">
        <v>40</v>
      </c>
      <c r="C109" s="4" t="s">
        <v>24</v>
      </c>
      <c r="D109" s="4">
        <v>2011</v>
      </c>
      <c r="E109" s="4">
        <v>2013</v>
      </c>
      <c r="F109" s="4">
        <v>600</v>
      </c>
      <c r="G109" s="4">
        <v>60095</v>
      </c>
      <c r="H109" s="17">
        <f aca="true" t="shared" si="19" ref="H109:H114">SUM(I109:R109)</f>
        <v>1624446</v>
      </c>
      <c r="I109" s="17">
        <v>1174446</v>
      </c>
      <c r="J109" s="49">
        <v>450000</v>
      </c>
      <c r="K109" s="49"/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7">
        <f aca="true" t="shared" si="20" ref="S109:S114">SUM(L109:R109)</f>
        <v>0</v>
      </c>
    </row>
    <row r="110" spans="1:19" ht="60" hidden="1">
      <c r="A110" s="11">
        <v>91</v>
      </c>
      <c r="B110" s="74" t="s">
        <v>41</v>
      </c>
      <c r="C110" s="4" t="s">
        <v>24</v>
      </c>
      <c r="D110" s="4">
        <v>2011</v>
      </c>
      <c r="E110" s="4">
        <v>2017</v>
      </c>
      <c r="F110" s="4">
        <v>600</v>
      </c>
      <c r="G110" s="4">
        <v>60095</v>
      </c>
      <c r="H110" s="17">
        <f t="shared" si="19"/>
        <v>5724668</v>
      </c>
      <c r="I110" s="17">
        <v>44668</v>
      </c>
      <c r="J110" s="49">
        <v>400000</v>
      </c>
      <c r="K110" s="49"/>
      <c r="L110" s="16">
        <v>1000000</v>
      </c>
      <c r="M110" s="48">
        <f>600000+1360000</f>
        <v>1960000</v>
      </c>
      <c r="N110" s="48">
        <f>600000+1340000</f>
        <v>1940000</v>
      </c>
      <c r="O110" s="48">
        <f>1500000-1120000</f>
        <v>380000</v>
      </c>
      <c r="P110" s="16">
        <v>0</v>
      </c>
      <c r="Q110" s="16">
        <v>0</v>
      </c>
      <c r="R110" s="16">
        <v>0</v>
      </c>
      <c r="S110" s="17">
        <f t="shared" si="20"/>
        <v>5280000</v>
      </c>
    </row>
    <row r="111" spans="1:19" ht="30" hidden="1">
      <c r="A111" s="11">
        <v>92</v>
      </c>
      <c r="B111" s="74" t="s">
        <v>42</v>
      </c>
      <c r="C111" s="4" t="s">
        <v>24</v>
      </c>
      <c r="D111" s="4">
        <v>2011</v>
      </c>
      <c r="E111" s="4">
        <v>2020</v>
      </c>
      <c r="F111" s="4">
        <v>600</v>
      </c>
      <c r="G111" s="4">
        <v>60095</v>
      </c>
      <c r="H111" s="17">
        <f t="shared" si="19"/>
        <v>3998036</v>
      </c>
      <c r="I111" s="17">
        <v>295448</v>
      </c>
      <c r="J111" s="38">
        <f>250000+300000+2588</f>
        <v>552588</v>
      </c>
      <c r="K111" s="38"/>
      <c r="L111" s="16">
        <f>450000</f>
        <v>450000</v>
      </c>
      <c r="M111" s="16">
        <v>300000</v>
      </c>
      <c r="N111" s="16">
        <v>200000</v>
      </c>
      <c r="O111" s="16">
        <v>300000</v>
      </c>
      <c r="P111" s="16">
        <v>300000</v>
      </c>
      <c r="Q111" s="16">
        <v>600000</v>
      </c>
      <c r="R111" s="16">
        <v>1000000</v>
      </c>
      <c r="S111" s="17">
        <f t="shared" si="20"/>
        <v>3150000</v>
      </c>
    </row>
    <row r="112" spans="1:19" ht="45" hidden="1">
      <c r="A112" s="11">
        <v>93</v>
      </c>
      <c r="B112" s="74" t="s">
        <v>38</v>
      </c>
      <c r="C112" s="4" t="s">
        <v>24</v>
      </c>
      <c r="D112" s="4">
        <v>2011</v>
      </c>
      <c r="E112" s="4">
        <v>2013</v>
      </c>
      <c r="F112" s="4">
        <v>600</v>
      </c>
      <c r="G112" s="4">
        <v>60095</v>
      </c>
      <c r="H112" s="17">
        <f t="shared" si="19"/>
        <v>42140</v>
      </c>
      <c r="I112" s="17">
        <v>0</v>
      </c>
      <c r="J112" s="38">
        <f>20000+22140</f>
        <v>42140</v>
      </c>
      <c r="K112" s="38"/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7">
        <f t="shared" si="20"/>
        <v>0</v>
      </c>
    </row>
    <row r="113" spans="1:19" ht="14.25" customHeight="1" hidden="1">
      <c r="A113" s="11">
        <v>94</v>
      </c>
      <c r="B113" s="74" t="s">
        <v>39</v>
      </c>
      <c r="C113" s="4" t="s">
        <v>24</v>
      </c>
      <c r="D113" s="4">
        <v>2011</v>
      </c>
      <c r="E113" s="4">
        <v>2020</v>
      </c>
      <c r="F113" s="4">
        <v>600</v>
      </c>
      <c r="G113" s="4">
        <v>60095</v>
      </c>
      <c r="H113" s="17">
        <f t="shared" si="19"/>
        <v>5210000</v>
      </c>
      <c r="I113" s="17">
        <v>0</v>
      </c>
      <c r="J113" s="38">
        <f>20000+50000</f>
        <v>70000</v>
      </c>
      <c r="K113" s="38"/>
      <c r="L113" s="16">
        <v>20000</v>
      </c>
      <c r="M113" s="16">
        <v>20000</v>
      </c>
      <c r="N113" s="16">
        <v>100000</v>
      </c>
      <c r="O113" s="16">
        <v>500000</v>
      </c>
      <c r="P113" s="16">
        <v>500000</v>
      </c>
      <c r="Q113" s="16">
        <v>1000000</v>
      </c>
      <c r="R113" s="16">
        <v>3000000</v>
      </c>
      <c r="S113" s="17">
        <f t="shared" si="20"/>
        <v>5140000</v>
      </c>
    </row>
    <row r="114" spans="1:19" ht="29.25" customHeight="1" hidden="1">
      <c r="A114" s="11">
        <v>95</v>
      </c>
      <c r="B114" s="74" t="s">
        <v>125</v>
      </c>
      <c r="C114" s="4" t="s">
        <v>24</v>
      </c>
      <c r="D114" s="4">
        <v>2013</v>
      </c>
      <c r="E114" s="4">
        <v>2014</v>
      </c>
      <c r="F114" s="4">
        <v>600</v>
      </c>
      <c r="G114" s="4">
        <v>60095</v>
      </c>
      <c r="H114" s="17">
        <f t="shared" si="19"/>
        <v>1150000</v>
      </c>
      <c r="I114" s="17">
        <v>0</v>
      </c>
      <c r="J114" s="49">
        <v>350000</v>
      </c>
      <c r="K114" s="49"/>
      <c r="L114" s="16">
        <v>800000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7">
        <f t="shared" si="20"/>
        <v>800000</v>
      </c>
    </row>
    <row r="115" spans="1:19" ht="57" hidden="1">
      <c r="A115" s="11">
        <v>96</v>
      </c>
      <c r="B115" s="68" t="s">
        <v>174</v>
      </c>
      <c r="C115" s="4" t="s">
        <v>24</v>
      </c>
      <c r="D115" s="4">
        <v>2011</v>
      </c>
      <c r="E115" s="4">
        <v>2020</v>
      </c>
      <c r="F115" s="90" t="s">
        <v>0</v>
      </c>
      <c r="G115" s="90"/>
      <c r="H115" s="17">
        <f>SUM(H116:H125)</f>
        <v>38399815</v>
      </c>
      <c r="I115" s="12">
        <f>SUM(I116:I125)</f>
        <v>650754</v>
      </c>
      <c r="J115" s="49">
        <f>SUM(J116:J127)</f>
        <v>4925417.16</v>
      </c>
      <c r="K115" s="49"/>
      <c r="L115" s="17">
        <f>SUM(L116:L127)</f>
        <v>4168746.5100000002</v>
      </c>
      <c r="M115" s="17">
        <f aca="true" t="shared" si="21" ref="M115:S115">SUM(M116:M125)</f>
        <v>900000</v>
      </c>
      <c r="N115" s="17">
        <f t="shared" si="21"/>
        <v>2090000</v>
      </c>
      <c r="O115" s="17">
        <f t="shared" si="21"/>
        <v>4370140</v>
      </c>
      <c r="P115" s="17">
        <f t="shared" si="21"/>
        <v>5938109</v>
      </c>
      <c r="Q115" s="17">
        <f t="shared" si="21"/>
        <v>6390000</v>
      </c>
      <c r="R115" s="17">
        <f t="shared" si="21"/>
        <v>8991699</v>
      </c>
      <c r="S115" s="17">
        <f t="shared" si="21"/>
        <v>32829948</v>
      </c>
    </row>
    <row r="116" spans="1:19" ht="18.75" customHeight="1" hidden="1">
      <c r="A116" s="11">
        <v>97</v>
      </c>
      <c r="B116" s="77" t="s">
        <v>44</v>
      </c>
      <c r="C116" s="4" t="s">
        <v>24</v>
      </c>
      <c r="D116" s="4">
        <v>2011</v>
      </c>
      <c r="E116" s="4">
        <v>2020</v>
      </c>
      <c r="F116" s="4">
        <v>700</v>
      </c>
      <c r="G116" s="4">
        <v>70004</v>
      </c>
      <c r="H116" s="17">
        <f>SUM(I116:R116)</f>
        <v>3200000</v>
      </c>
      <c r="I116" s="17">
        <v>100000</v>
      </c>
      <c r="J116" s="49">
        <f>50000+50000</f>
        <v>100000</v>
      </c>
      <c r="K116" s="49"/>
      <c r="L116" s="16">
        <f>50000+50000</f>
        <v>100000</v>
      </c>
      <c r="M116" s="16">
        <v>100000</v>
      </c>
      <c r="N116" s="16">
        <v>100000</v>
      </c>
      <c r="O116" s="16">
        <v>200000</v>
      </c>
      <c r="P116" s="16">
        <v>500000</v>
      </c>
      <c r="Q116" s="16">
        <v>1000000</v>
      </c>
      <c r="R116" s="16">
        <v>1000000</v>
      </c>
      <c r="S116" s="17">
        <f>SUM(L116:R116)</f>
        <v>3000000</v>
      </c>
    </row>
    <row r="117" spans="1:19" ht="15" customHeight="1" hidden="1">
      <c r="A117" s="11">
        <v>98</v>
      </c>
      <c r="B117" s="74" t="s">
        <v>45</v>
      </c>
      <c r="C117" s="4" t="s">
        <v>24</v>
      </c>
      <c r="D117" s="4">
        <v>2011</v>
      </c>
      <c r="E117" s="4">
        <v>2020</v>
      </c>
      <c r="F117" s="4">
        <v>700</v>
      </c>
      <c r="G117" s="4">
        <v>70005</v>
      </c>
      <c r="H117" s="17">
        <f aca="true" t="shared" si="22" ref="H117:H127">SUM(I117:R117)</f>
        <v>2600000</v>
      </c>
      <c r="I117" s="17"/>
      <c r="J117" s="49">
        <v>500000</v>
      </c>
      <c r="K117" s="49"/>
      <c r="L117" s="16">
        <v>400000</v>
      </c>
      <c r="M117" s="16">
        <v>200000</v>
      </c>
      <c r="N117" s="16">
        <v>300000</v>
      </c>
      <c r="O117" s="16">
        <v>300000</v>
      </c>
      <c r="P117" s="16">
        <v>300000</v>
      </c>
      <c r="Q117" s="16">
        <v>300000</v>
      </c>
      <c r="R117" s="16">
        <v>300000</v>
      </c>
      <c r="S117" s="17">
        <f aca="true" t="shared" si="23" ref="S117:S127">SUM(L117:R117)</f>
        <v>2100000</v>
      </c>
    </row>
    <row r="118" spans="1:19" ht="60" hidden="1">
      <c r="A118" s="11">
        <v>99</v>
      </c>
      <c r="B118" s="74" t="s">
        <v>46</v>
      </c>
      <c r="C118" s="4" t="s">
        <v>24</v>
      </c>
      <c r="D118" s="4">
        <v>2011</v>
      </c>
      <c r="E118" s="4">
        <v>2020</v>
      </c>
      <c r="F118" s="4">
        <v>750</v>
      </c>
      <c r="G118" s="4">
        <v>75023</v>
      </c>
      <c r="H118" s="17">
        <f t="shared" si="22"/>
        <v>619040</v>
      </c>
      <c r="I118" s="17">
        <v>59040</v>
      </c>
      <c r="J118" s="50">
        <f>100000+70000</f>
        <v>170000</v>
      </c>
      <c r="K118" s="50"/>
      <c r="L118" s="51">
        <f>100000-10000</f>
        <v>90000</v>
      </c>
      <c r="M118" s="52">
        <v>50000</v>
      </c>
      <c r="N118" s="52">
        <v>50000</v>
      </c>
      <c r="O118" s="52">
        <v>50000</v>
      </c>
      <c r="P118" s="52">
        <v>50000</v>
      </c>
      <c r="Q118" s="52">
        <v>50000</v>
      </c>
      <c r="R118" s="52">
        <v>50000</v>
      </c>
      <c r="S118" s="17">
        <f t="shared" si="23"/>
        <v>390000</v>
      </c>
    </row>
    <row r="119" spans="1:19" ht="75" hidden="1">
      <c r="A119" s="11">
        <v>100</v>
      </c>
      <c r="B119" s="74" t="s">
        <v>129</v>
      </c>
      <c r="C119" s="4" t="s">
        <v>24</v>
      </c>
      <c r="D119" s="4">
        <v>2011</v>
      </c>
      <c r="E119" s="4">
        <v>2016</v>
      </c>
      <c r="F119" s="4">
        <v>801</v>
      </c>
      <c r="G119" s="4">
        <v>80101</v>
      </c>
      <c r="H119" s="17">
        <f t="shared" si="22"/>
        <v>3864113</v>
      </c>
      <c r="I119" s="17">
        <v>0</v>
      </c>
      <c r="J119" s="50">
        <f>900000+264113</f>
        <v>1164113</v>
      </c>
      <c r="K119" s="50"/>
      <c r="L119" s="52">
        <v>2000000</v>
      </c>
      <c r="M119" s="51">
        <v>200000</v>
      </c>
      <c r="N119" s="52">
        <v>500000</v>
      </c>
      <c r="O119" s="52">
        <v>0</v>
      </c>
      <c r="P119" s="52">
        <v>0</v>
      </c>
      <c r="Q119" s="52">
        <v>0</v>
      </c>
      <c r="R119" s="52">
        <v>0</v>
      </c>
      <c r="S119" s="17">
        <f t="shared" si="23"/>
        <v>2700000</v>
      </c>
    </row>
    <row r="120" spans="1:19" ht="18" customHeight="1" hidden="1">
      <c r="A120" s="11">
        <v>101</v>
      </c>
      <c r="B120" s="74" t="s">
        <v>43</v>
      </c>
      <c r="C120" s="4" t="s">
        <v>24</v>
      </c>
      <c r="D120" s="4">
        <v>2011</v>
      </c>
      <c r="E120" s="4">
        <v>2013</v>
      </c>
      <c r="F120" s="4">
        <v>801</v>
      </c>
      <c r="G120" s="4">
        <v>80101</v>
      </c>
      <c r="H120" s="17">
        <f t="shared" si="22"/>
        <v>1800190</v>
      </c>
      <c r="I120" s="17">
        <v>190</v>
      </c>
      <c r="J120" s="53">
        <v>1800000</v>
      </c>
      <c r="K120" s="53"/>
      <c r="L120" s="52">
        <v>0</v>
      </c>
      <c r="M120" s="51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17">
        <f t="shared" si="23"/>
        <v>0</v>
      </c>
    </row>
    <row r="121" spans="1:19" ht="30" hidden="1">
      <c r="A121" s="11">
        <v>102</v>
      </c>
      <c r="B121" s="74" t="s">
        <v>47</v>
      </c>
      <c r="C121" s="4" t="s">
        <v>24</v>
      </c>
      <c r="D121" s="4">
        <v>2011</v>
      </c>
      <c r="E121" s="4">
        <v>2020</v>
      </c>
      <c r="F121" s="4">
        <v>801</v>
      </c>
      <c r="G121" s="4">
        <v>80104</v>
      </c>
      <c r="H121" s="17">
        <f t="shared" si="22"/>
        <v>14951699</v>
      </c>
      <c r="I121" s="17">
        <v>0</v>
      </c>
      <c r="J121" s="53">
        <v>0</v>
      </c>
      <c r="K121" s="53"/>
      <c r="L121" s="52">
        <v>0</v>
      </c>
      <c r="M121" s="52">
        <v>10000</v>
      </c>
      <c r="N121" s="52">
        <v>100000</v>
      </c>
      <c r="O121" s="52">
        <v>300000</v>
      </c>
      <c r="P121" s="51">
        <f>2000000</f>
        <v>2000000</v>
      </c>
      <c r="Q121" s="52">
        <v>5000000</v>
      </c>
      <c r="R121" s="52">
        <f>5000000+2541699</f>
        <v>7541699</v>
      </c>
      <c r="S121" s="17">
        <f t="shared" si="23"/>
        <v>14951699</v>
      </c>
    </row>
    <row r="122" spans="1:19" ht="45" hidden="1">
      <c r="A122" s="11">
        <v>103</v>
      </c>
      <c r="B122" s="74" t="s">
        <v>167</v>
      </c>
      <c r="C122" s="4" t="s">
        <v>24</v>
      </c>
      <c r="D122" s="4">
        <v>2011</v>
      </c>
      <c r="E122" s="4">
        <v>2018</v>
      </c>
      <c r="F122" s="4">
        <v>801</v>
      </c>
      <c r="G122" s="4">
        <v>80104</v>
      </c>
      <c r="H122" s="17">
        <f t="shared" si="22"/>
        <v>5850000</v>
      </c>
      <c r="I122" s="17">
        <v>0</v>
      </c>
      <c r="J122" s="38">
        <f>300000+400000+150000</f>
        <v>850000</v>
      </c>
      <c r="K122" s="38"/>
      <c r="L122" s="16">
        <f>800000</f>
        <v>800000</v>
      </c>
      <c r="M122" s="16">
        <v>200000</v>
      </c>
      <c r="N122" s="17">
        <v>0</v>
      </c>
      <c r="O122" s="52">
        <v>2000000</v>
      </c>
      <c r="P122" s="52">
        <v>2000000</v>
      </c>
      <c r="Q122" s="52">
        <v>0</v>
      </c>
      <c r="R122" s="52">
        <v>0</v>
      </c>
      <c r="S122" s="17">
        <f t="shared" si="23"/>
        <v>5000000</v>
      </c>
    </row>
    <row r="123" spans="1:19" ht="60" hidden="1">
      <c r="A123" s="11">
        <v>104</v>
      </c>
      <c r="B123" s="75" t="s">
        <v>48</v>
      </c>
      <c r="C123" s="4" t="s">
        <v>24</v>
      </c>
      <c r="D123" s="4">
        <v>2011</v>
      </c>
      <c r="E123" s="4">
        <v>2020</v>
      </c>
      <c r="F123" s="4">
        <v>801</v>
      </c>
      <c r="G123" s="4">
        <v>80104</v>
      </c>
      <c r="H123" s="17">
        <f t="shared" si="22"/>
        <v>1641524</v>
      </c>
      <c r="I123" s="17">
        <v>491524</v>
      </c>
      <c r="J123" s="64">
        <f>200000+70000</f>
        <v>270000</v>
      </c>
      <c r="K123" s="64"/>
      <c r="L123" s="52">
        <f>700000</f>
        <v>700000</v>
      </c>
      <c r="M123" s="52">
        <v>20000</v>
      </c>
      <c r="N123" s="52">
        <v>20000</v>
      </c>
      <c r="O123" s="52">
        <v>50000</v>
      </c>
      <c r="P123" s="52">
        <v>20000</v>
      </c>
      <c r="Q123" s="52">
        <v>20000</v>
      </c>
      <c r="R123" s="52">
        <v>50000</v>
      </c>
      <c r="S123" s="17">
        <f t="shared" si="23"/>
        <v>880000</v>
      </c>
    </row>
    <row r="124" spans="1:19" ht="30" hidden="1">
      <c r="A124" s="11">
        <v>105</v>
      </c>
      <c r="B124" s="74" t="s">
        <v>49</v>
      </c>
      <c r="C124" s="4" t="s">
        <v>24</v>
      </c>
      <c r="D124" s="4">
        <v>2011</v>
      </c>
      <c r="E124" s="4">
        <v>2020</v>
      </c>
      <c r="F124" s="4">
        <v>801</v>
      </c>
      <c r="G124" s="4">
        <v>80104</v>
      </c>
      <c r="H124" s="17">
        <f t="shared" si="22"/>
        <v>285000</v>
      </c>
      <c r="I124" s="17">
        <v>0</v>
      </c>
      <c r="J124" s="54">
        <v>55000</v>
      </c>
      <c r="K124" s="54"/>
      <c r="L124" s="52">
        <v>50000</v>
      </c>
      <c r="M124" s="52">
        <v>20000</v>
      </c>
      <c r="N124" s="52">
        <v>20000</v>
      </c>
      <c r="O124" s="52">
        <v>50000</v>
      </c>
      <c r="P124" s="52">
        <v>20000</v>
      </c>
      <c r="Q124" s="52">
        <v>20000</v>
      </c>
      <c r="R124" s="52">
        <v>50000</v>
      </c>
      <c r="S124" s="17">
        <f t="shared" si="23"/>
        <v>230000</v>
      </c>
    </row>
    <row r="125" spans="1:19" ht="30" hidden="1">
      <c r="A125" s="11">
        <v>106</v>
      </c>
      <c r="B125" s="74" t="s">
        <v>52</v>
      </c>
      <c r="C125" s="4" t="s">
        <v>24</v>
      </c>
      <c r="D125" s="4">
        <v>2011</v>
      </c>
      <c r="E125" s="4">
        <v>2020</v>
      </c>
      <c r="F125" s="4">
        <v>852</v>
      </c>
      <c r="G125" s="4">
        <v>85202</v>
      </c>
      <c r="H125" s="17">
        <f t="shared" si="22"/>
        <v>3588249</v>
      </c>
      <c r="I125" s="17">
        <v>0</v>
      </c>
      <c r="J125" s="55">
        <v>10000</v>
      </c>
      <c r="K125" s="55"/>
      <c r="L125" s="51">
        <v>10000</v>
      </c>
      <c r="M125" s="51">
        <v>100000</v>
      </c>
      <c r="N125" s="51">
        <v>1000000</v>
      </c>
      <c r="O125" s="51">
        <v>1420140</v>
      </c>
      <c r="P125" s="51">
        <v>1048109</v>
      </c>
      <c r="Q125" s="51">
        <v>0</v>
      </c>
      <c r="R125" s="51">
        <v>0</v>
      </c>
      <c r="S125" s="17">
        <f t="shared" si="23"/>
        <v>3578249</v>
      </c>
    </row>
    <row r="126" spans="1:19" ht="60" hidden="1">
      <c r="A126" s="11" t="s">
        <v>135</v>
      </c>
      <c r="B126" s="74" t="s">
        <v>137</v>
      </c>
      <c r="C126" s="4" t="s">
        <v>24</v>
      </c>
      <c r="D126" s="4">
        <v>2013</v>
      </c>
      <c r="E126" s="4">
        <v>2014</v>
      </c>
      <c r="F126" s="4"/>
      <c r="G126" s="4"/>
      <c r="H126" s="17">
        <f t="shared" si="22"/>
        <v>16716.7</v>
      </c>
      <c r="I126" s="17">
        <v>0</v>
      </c>
      <c r="J126" s="56">
        <v>4137.66</v>
      </c>
      <c r="K126" s="56"/>
      <c r="L126" s="57">
        <v>12579.04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17">
        <f t="shared" si="23"/>
        <v>12579.04</v>
      </c>
    </row>
    <row r="127" spans="1:19" ht="60" hidden="1">
      <c r="A127" s="11" t="s">
        <v>136</v>
      </c>
      <c r="B127" s="74" t="s">
        <v>138</v>
      </c>
      <c r="C127" s="4" t="s">
        <v>24</v>
      </c>
      <c r="D127" s="4">
        <v>2013</v>
      </c>
      <c r="E127" s="4">
        <v>2014</v>
      </c>
      <c r="F127" s="4"/>
      <c r="G127" s="4"/>
      <c r="H127" s="17">
        <f t="shared" si="22"/>
        <v>8333.970000000001</v>
      </c>
      <c r="I127" s="17">
        <v>0</v>
      </c>
      <c r="J127" s="56">
        <v>2166.5</v>
      </c>
      <c r="K127" s="56"/>
      <c r="L127" s="57">
        <v>6167.47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17">
        <f t="shared" si="23"/>
        <v>6167.47</v>
      </c>
    </row>
    <row r="128" spans="1:19" ht="57" hidden="1">
      <c r="A128" s="11">
        <v>107</v>
      </c>
      <c r="B128" s="68" t="s">
        <v>175</v>
      </c>
      <c r="C128" s="4" t="s">
        <v>24</v>
      </c>
      <c r="D128" s="4">
        <v>2011</v>
      </c>
      <c r="E128" s="4">
        <v>2018</v>
      </c>
      <c r="F128" s="90" t="s">
        <v>0</v>
      </c>
      <c r="G128" s="90"/>
      <c r="H128" s="17">
        <f>SUM(H129)</f>
        <v>2366315.62</v>
      </c>
      <c r="I128" s="12">
        <f>SUM(I129)</f>
        <v>118150.62</v>
      </c>
      <c r="J128" s="46">
        <f aca="true" t="shared" si="24" ref="J128:S128">SUM(J129)</f>
        <v>230000</v>
      </c>
      <c r="K128" s="46"/>
      <c r="L128" s="12">
        <f t="shared" si="24"/>
        <v>300000</v>
      </c>
      <c r="M128" s="12">
        <f t="shared" si="24"/>
        <v>200000</v>
      </c>
      <c r="N128" s="12">
        <f t="shared" si="24"/>
        <v>218165</v>
      </c>
      <c r="O128" s="12">
        <f t="shared" si="24"/>
        <v>200000</v>
      </c>
      <c r="P128" s="12">
        <f t="shared" si="24"/>
        <v>300000</v>
      </c>
      <c r="Q128" s="12">
        <f t="shared" si="24"/>
        <v>400000</v>
      </c>
      <c r="R128" s="12">
        <f t="shared" si="24"/>
        <v>400000</v>
      </c>
      <c r="S128" s="12">
        <f t="shared" si="24"/>
        <v>2018165</v>
      </c>
    </row>
    <row r="129" spans="1:19" ht="45" hidden="1">
      <c r="A129" s="11">
        <v>108</v>
      </c>
      <c r="B129" s="74" t="s">
        <v>50</v>
      </c>
      <c r="C129" s="4" t="s">
        <v>24</v>
      </c>
      <c r="D129" s="4">
        <v>2011</v>
      </c>
      <c r="E129" s="4">
        <v>2020</v>
      </c>
      <c r="F129" s="4">
        <v>900</v>
      </c>
      <c r="G129" s="4">
        <v>90015</v>
      </c>
      <c r="H129" s="17">
        <f>SUM(I129:R129)</f>
        <v>2366315.62</v>
      </c>
      <c r="I129" s="17">
        <v>118150.62</v>
      </c>
      <c r="J129" s="54">
        <v>230000</v>
      </c>
      <c r="K129" s="54"/>
      <c r="L129" s="52">
        <v>300000</v>
      </c>
      <c r="M129" s="52">
        <v>200000</v>
      </c>
      <c r="N129" s="52">
        <v>218165</v>
      </c>
      <c r="O129" s="52">
        <v>200000</v>
      </c>
      <c r="P129" s="52">
        <v>300000</v>
      </c>
      <c r="Q129" s="52">
        <v>400000</v>
      </c>
      <c r="R129" s="52">
        <v>400000</v>
      </c>
      <c r="S129" s="17">
        <f>SUM(L129:R129)</f>
        <v>2018165</v>
      </c>
    </row>
    <row r="130" spans="1:19" ht="57" hidden="1">
      <c r="A130" s="11">
        <v>109</v>
      </c>
      <c r="B130" s="68" t="s">
        <v>176</v>
      </c>
      <c r="C130" s="4" t="s">
        <v>24</v>
      </c>
      <c r="D130" s="4">
        <v>2011</v>
      </c>
      <c r="E130" s="4">
        <v>2019</v>
      </c>
      <c r="F130" s="90" t="s">
        <v>0</v>
      </c>
      <c r="G130" s="90"/>
      <c r="H130" s="17">
        <f>SUM(H131:H134)</f>
        <v>5211389</v>
      </c>
      <c r="I130" s="12">
        <f>SUM(I131:I134)</f>
        <v>0</v>
      </c>
      <c r="J130" s="37">
        <f aca="true" t="shared" si="25" ref="J130:S130">SUM(J131:J134)</f>
        <v>1195900</v>
      </c>
      <c r="K130" s="37"/>
      <c r="L130" s="17">
        <f t="shared" si="25"/>
        <v>710000</v>
      </c>
      <c r="M130" s="17">
        <f t="shared" si="25"/>
        <v>20000</v>
      </c>
      <c r="N130" s="17">
        <f t="shared" si="25"/>
        <v>100000</v>
      </c>
      <c r="O130" s="17">
        <f t="shared" si="25"/>
        <v>100000</v>
      </c>
      <c r="P130" s="17">
        <f t="shared" si="25"/>
        <v>300000</v>
      </c>
      <c r="Q130" s="17">
        <f t="shared" si="25"/>
        <v>2785489</v>
      </c>
      <c r="R130" s="17">
        <f t="shared" si="25"/>
        <v>0</v>
      </c>
      <c r="S130" s="17">
        <f t="shared" si="25"/>
        <v>4015489</v>
      </c>
    </row>
    <row r="131" spans="1:19" ht="15.75" customHeight="1" hidden="1">
      <c r="A131" s="11">
        <v>110</v>
      </c>
      <c r="B131" s="74" t="s">
        <v>54</v>
      </c>
      <c r="C131" s="4" t="s">
        <v>24</v>
      </c>
      <c r="D131" s="4">
        <v>2011</v>
      </c>
      <c r="E131" s="4">
        <v>2013</v>
      </c>
      <c r="F131" s="4">
        <v>921</v>
      </c>
      <c r="G131" s="4">
        <v>92109</v>
      </c>
      <c r="H131" s="17">
        <f>SUM(I131:R131)</f>
        <v>75900</v>
      </c>
      <c r="I131" s="17">
        <v>0</v>
      </c>
      <c r="J131" s="38">
        <f>40000+15000+20900</f>
        <v>75900</v>
      </c>
      <c r="K131" s="38"/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f>SUM(L131:R131)</f>
        <v>0</v>
      </c>
    </row>
    <row r="132" spans="1:19" ht="39" customHeight="1" hidden="1">
      <c r="A132" s="11">
        <v>111</v>
      </c>
      <c r="B132" s="74" t="s">
        <v>128</v>
      </c>
      <c r="C132" s="4" t="s">
        <v>24</v>
      </c>
      <c r="D132" s="4">
        <v>2013</v>
      </c>
      <c r="E132" s="4"/>
      <c r="F132" s="4">
        <v>921</v>
      </c>
      <c r="G132" s="4">
        <v>92109</v>
      </c>
      <c r="H132" s="17">
        <f>SUM(I132:R132)</f>
        <v>220000</v>
      </c>
      <c r="I132" s="17">
        <v>0</v>
      </c>
      <c r="J132" s="41">
        <v>20000</v>
      </c>
      <c r="K132" s="41"/>
      <c r="L132" s="17">
        <v>200000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f>SUM(L132:R132)</f>
        <v>200000</v>
      </c>
    </row>
    <row r="133" spans="1:19" ht="25.5" customHeight="1" hidden="1">
      <c r="A133" s="11">
        <v>112</v>
      </c>
      <c r="B133" s="74" t="s">
        <v>127</v>
      </c>
      <c r="C133" s="4" t="s">
        <v>24</v>
      </c>
      <c r="D133" s="4">
        <v>2013</v>
      </c>
      <c r="E133" s="4">
        <v>2014</v>
      </c>
      <c r="F133" s="4">
        <v>921</v>
      </c>
      <c r="G133" s="4">
        <v>92109</v>
      </c>
      <c r="H133" s="17">
        <f>SUM(I133:R133)</f>
        <v>1600000</v>
      </c>
      <c r="I133" s="17">
        <v>0</v>
      </c>
      <c r="J133" s="38">
        <f>200000+900000</f>
        <v>1100000</v>
      </c>
      <c r="K133" s="38"/>
      <c r="L133" s="38">
        <f>200000+300000</f>
        <v>500000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f>SUM(L133:R133)</f>
        <v>500000</v>
      </c>
    </row>
    <row r="134" spans="1:19" ht="30" hidden="1">
      <c r="A134" s="11">
        <v>113</v>
      </c>
      <c r="B134" s="74" t="s">
        <v>55</v>
      </c>
      <c r="C134" s="4" t="s">
        <v>24</v>
      </c>
      <c r="D134" s="4">
        <v>2011</v>
      </c>
      <c r="E134" s="4">
        <v>2019</v>
      </c>
      <c r="F134" s="4">
        <v>921</v>
      </c>
      <c r="G134" s="4">
        <v>92109</v>
      </c>
      <c r="H134" s="17">
        <f>SUM(I134:R134)</f>
        <v>3315489</v>
      </c>
      <c r="I134" s="17">
        <v>0</v>
      </c>
      <c r="J134" s="54">
        <v>0</v>
      </c>
      <c r="K134" s="54"/>
      <c r="L134" s="52">
        <v>10000</v>
      </c>
      <c r="M134" s="52">
        <v>20000</v>
      </c>
      <c r="N134" s="52">
        <v>100000</v>
      </c>
      <c r="O134" s="52">
        <v>100000</v>
      </c>
      <c r="P134" s="52">
        <v>300000</v>
      </c>
      <c r="Q134" s="51">
        <f>2500000+285489</f>
        <v>2785489</v>
      </c>
      <c r="R134" s="17">
        <v>0</v>
      </c>
      <c r="S134" s="17">
        <f>SUM(L134:R134)</f>
        <v>3315489</v>
      </c>
    </row>
    <row r="135" spans="1:19" ht="39.75" customHeight="1" hidden="1">
      <c r="A135" s="11">
        <v>114</v>
      </c>
      <c r="B135" s="68" t="s">
        <v>177</v>
      </c>
      <c r="C135" s="4" t="s">
        <v>24</v>
      </c>
      <c r="D135" s="4">
        <v>2011</v>
      </c>
      <c r="E135" s="4">
        <v>2017</v>
      </c>
      <c r="F135" s="90" t="s">
        <v>0</v>
      </c>
      <c r="G135" s="90"/>
      <c r="H135" s="17">
        <f>SUM(H136:H145)</f>
        <v>465000</v>
      </c>
      <c r="I135" s="12">
        <f>SUM(I136:I145)</f>
        <v>0</v>
      </c>
      <c r="J135" s="37">
        <f aca="true" t="shared" si="26" ref="J135:S135">SUM(J136)</f>
        <v>45000</v>
      </c>
      <c r="K135" s="37"/>
      <c r="L135" s="17">
        <f t="shared" si="26"/>
        <v>10000</v>
      </c>
      <c r="M135" s="17">
        <f t="shared" si="26"/>
        <v>10000</v>
      </c>
      <c r="N135" s="17">
        <f t="shared" si="26"/>
        <v>200000</v>
      </c>
      <c r="O135" s="17">
        <f t="shared" si="26"/>
        <v>200000</v>
      </c>
      <c r="P135" s="17">
        <f t="shared" si="26"/>
        <v>0</v>
      </c>
      <c r="Q135" s="17">
        <f t="shared" si="26"/>
        <v>0</v>
      </c>
      <c r="R135" s="17">
        <f t="shared" si="26"/>
        <v>0</v>
      </c>
      <c r="S135" s="17">
        <f t="shared" si="26"/>
        <v>420000</v>
      </c>
    </row>
    <row r="136" spans="1:19" ht="17.25" customHeight="1" hidden="1">
      <c r="A136" s="11">
        <v>115</v>
      </c>
      <c r="B136" s="74" t="s">
        <v>51</v>
      </c>
      <c r="C136" s="4" t="s">
        <v>24</v>
      </c>
      <c r="D136" s="4">
        <v>2011</v>
      </c>
      <c r="E136" s="4">
        <v>2017</v>
      </c>
      <c r="F136" s="4">
        <v>926</v>
      </c>
      <c r="G136" s="4">
        <v>92601</v>
      </c>
      <c r="H136" s="17">
        <f>SUM(I136:R136)</f>
        <v>465000</v>
      </c>
      <c r="I136" s="17">
        <v>0</v>
      </c>
      <c r="J136" s="50">
        <f>10000+35000</f>
        <v>45000</v>
      </c>
      <c r="K136" s="50"/>
      <c r="L136" s="52">
        <v>10000</v>
      </c>
      <c r="M136" s="52">
        <v>10000</v>
      </c>
      <c r="N136" s="52">
        <v>200000</v>
      </c>
      <c r="O136" s="52">
        <v>200000</v>
      </c>
      <c r="P136" s="52">
        <v>0</v>
      </c>
      <c r="Q136" s="52">
        <v>0</v>
      </c>
      <c r="R136" s="52">
        <v>0</v>
      </c>
      <c r="S136" s="17">
        <f>SUM(L136:R136)</f>
        <v>420000</v>
      </c>
    </row>
    <row r="137" spans="1:19" ht="40.5" customHeight="1" hidden="1">
      <c r="A137" s="11">
        <v>116</v>
      </c>
      <c r="B137" s="91" t="s">
        <v>16</v>
      </c>
      <c r="C137" s="92"/>
      <c r="D137" s="92"/>
      <c r="E137" s="92"/>
      <c r="F137" s="92"/>
      <c r="G137" s="92"/>
      <c r="H137" s="17"/>
      <c r="I137" s="4"/>
      <c r="J137" s="42"/>
      <c r="K137" s="42"/>
      <c r="L137" s="4"/>
      <c r="M137" s="4"/>
      <c r="N137" s="4"/>
      <c r="O137" s="4"/>
      <c r="P137" s="4"/>
      <c r="Q137" s="4"/>
      <c r="R137" s="4"/>
      <c r="S137" s="4"/>
    </row>
    <row r="138" spans="1:19" ht="14.25" hidden="1">
      <c r="A138" s="11">
        <v>117</v>
      </c>
      <c r="B138" s="91" t="s">
        <v>9</v>
      </c>
      <c r="C138" s="92"/>
      <c r="D138" s="92"/>
      <c r="E138" s="92"/>
      <c r="F138" s="92"/>
      <c r="G138" s="92"/>
      <c r="H138" s="17"/>
      <c r="I138" s="4"/>
      <c r="J138" s="42"/>
      <c r="K138" s="42"/>
      <c r="L138" s="4"/>
      <c r="M138" s="4"/>
      <c r="N138" s="4"/>
      <c r="O138" s="4"/>
      <c r="P138" s="4"/>
      <c r="Q138" s="4"/>
      <c r="R138" s="4"/>
      <c r="S138" s="4"/>
    </row>
    <row r="139" spans="1:19" ht="14.25" hidden="1">
      <c r="A139" s="11">
        <v>118</v>
      </c>
      <c r="B139" s="91" t="s">
        <v>10</v>
      </c>
      <c r="C139" s="92"/>
      <c r="D139" s="92"/>
      <c r="E139" s="92"/>
      <c r="F139" s="92"/>
      <c r="G139" s="92"/>
      <c r="H139" s="17"/>
      <c r="I139" s="4"/>
      <c r="J139" s="42"/>
      <c r="K139" s="42"/>
      <c r="L139" s="4"/>
      <c r="M139" s="4"/>
      <c r="N139" s="4"/>
      <c r="O139" s="4"/>
      <c r="P139" s="4"/>
      <c r="Q139" s="4"/>
      <c r="R139" s="4"/>
      <c r="S139" s="4"/>
    </row>
    <row r="140" spans="1:19" ht="14.25" hidden="1">
      <c r="A140" s="11">
        <v>119</v>
      </c>
      <c r="B140" s="72" t="s">
        <v>17</v>
      </c>
      <c r="C140" s="3"/>
      <c r="D140" s="3"/>
      <c r="E140" s="3"/>
      <c r="F140" s="90" t="s">
        <v>0</v>
      </c>
      <c r="G140" s="90"/>
      <c r="H140" s="17"/>
      <c r="I140" s="4"/>
      <c r="J140" s="42"/>
      <c r="K140" s="42"/>
      <c r="L140" s="4"/>
      <c r="M140" s="4"/>
      <c r="N140" s="4"/>
      <c r="O140" s="4"/>
      <c r="P140" s="4"/>
      <c r="Q140" s="4"/>
      <c r="R140" s="4"/>
      <c r="S140" s="4"/>
    </row>
    <row r="141" spans="1:19" ht="42.75" hidden="1">
      <c r="A141" s="11">
        <v>120</v>
      </c>
      <c r="B141" s="72" t="s">
        <v>13</v>
      </c>
      <c r="C141" s="3"/>
      <c r="D141" s="3"/>
      <c r="E141" s="3"/>
      <c r="F141" s="3"/>
      <c r="G141" s="3"/>
      <c r="H141" s="17"/>
      <c r="I141" s="4"/>
      <c r="J141" s="42"/>
      <c r="K141" s="42"/>
      <c r="L141" s="4"/>
      <c r="M141" s="4"/>
      <c r="N141" s="4"/>
      <c r="O141" s="4"/>
      <c r="P141" s="4"/>
      <c r="Q141" s="4"/>
      <c r="R141" s="4"/>
      <c r="S141" s="4"/>
    </row>
    <row r="142" spans="1:19" ht="14.25" hidden="1">
      <c r="A142" s="11">
        <v>121</v>
      </c>
      <c r="B142" s="91" t="s">
        <v>18</v>
      </c>
      <c r="C142" s="92"/>
      <c r="D142" s="92"/>
      <c r="E142" s="92"/>
      <c r="F142" s="92"/>
      <c r="G142" s="92"/>
      <c r="H142" s="17"/>
      <c r="I142" s="4"/>
      <c r="J142" s="42"/>
      <c r="K142" s="42"/>
      <c r="L142" s="4"/>
      <c r="M142" s="4"/>
      <c r="N142" s="4"/>
      <c r="O142" s="4"/>
      <c r="P142" s="4"/>
      <c r="Q142" s="4"/>
      <c r="R142" s="4"/>
      <c r="S142" s="4"/>
    </row>
    <row r="143" spans="1:19" ht="14.25" hidden="1">
      <c r="A143" s="11">
        <v>122</v>
      </c>
      <c r="B143" s="91" t="s">
        <v>9</v>
      </c>
      <c r="C143" s="92"/>
      <c r="D143" s="92"/>
      <c r="E143" s="92"/>
      <c r="F143" s="92"/>
      <c r="G143" s="92"/>
      <c r="H143" s="17"/>
      <c r="I143" s="4"/>
      <c r="J143" s="42"/>
      <c r="K143" s="42"/>
      <c r="L143" s="4"/>
      <c r="M143" s="4"/>
      <c r="N143" s="4"/>
      <c r="O143" s="4"/>
      <c r="P143" s="4"/>
      <c r="Q143" s="4"/>
      <c r="R143" s="4"/>
      <c r="S143" s="4"/>
    </row>
    <row r="144" spans="1:19" ht="14.25" hidden="1">
      <c r="A144" s="11">
        <v>123</v>
      </c>
      <c r="B144" s="72" t="s">
        <v>17</v>
      </c>
      <c r="C144" s="3"/>
      <c r="D144" s="3"/>
      <c r="E144" s="3"/>
      <c r="F144" s="90" t="s">
        <v>0</v>
      </c>
      <c r="G144" s="90"/>
      <c r="H144" s="17"/>
      <c r="I144" s="4"/>
      <c r="J144" s="42"/>
      <c r="K144" s="42"/>
      <c r="L144" s="4"/>
      <c r="M144" s="4"/>
      <c r="N144" s="4"/>
      <c r="O144" s="4"/>
      <c r="P144" s="4"/>
      <c r="Q144" s="4"/>
      <c r="R144" s="4"/>
      <c r="S144" s="4"/>
    </row>
    <row r="145" spans="1:19" ht="42.75" hidden="1">
      <c r="A145" s="11">
        <v>124</v>
      </c>
      <c r="B145" s="72" t="s">
        <v>13</v>
      </c>
      <c r="C145" s="3"/>
      <c r="D145" s="3"/>
      <c r="E145" s="3"/>
      <c r="F145" s="3"/>
      <c r="G145" s="3"/>
      <c r="H145" s="17"/>
      <c r="I145" s="4"/>
      <c r="J145" s="42"/>
      <c r="K145" s="42"/>
      <c r="L145" s="4"/>
      <c r="M145" s="4"/>
      <c r="N145" s="4"/>
      <c r="O145" s="4"/>
      <c r="P145" s="4"/>
      <c r="Q145" s="4"/>
      <c r="R145" s="4"/>
      <c r="S145" s="4"/>
    </row>
    <row r="146" spans="1:19" ht="0.75" customHeight="1">
      <c r="A146" s="11">
        <v>125</v>
      </c>
      <c r="B146" s="44"/>
      <c r="C146" s="1"/>
      <c r="D146" s="1"/>
      <c r="E146" s="1"/>
      <c r="F146" s="1"/>
      <c r="G146" s="1"/>
      <c r="H146" s="18"/>
      <c r="I146" s="1"/>
      <c r="J146" s="43"/>
      <c r="K146" s="43"/>
      <c r="L146" s="1"/>
      <c r="M146" s="1"/>
      <c r="N146" s="1"/>
      <c r="O146" s="1"/>
      <c r="P146" s="1"/>
      <c r="Q146" s="1"/>
      <c r="R146" s="1"/>
      <c r="S146" s="1"/>
    </row>
    <row r="147" ht="2.25" customHeight="1">
      <c r="B147" s="65"/>
    </row>
    <row r="149" spans="1:18" ht="53.25" customHeight="1">
      <c r="A149" s="99" t="s">
        <v>183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</sheetData>
  <sheetProtection/>
  <mergeCells count="42">
    <mergeCell ref="A149:R149"/>
    <mergeCell ref="B143:G143"/>
    <mergeCell ref="F140:G140"/>
    <mergeCell ref="F135:G135"/>
    <mergeCell ref="F108:G108"/>
    <mergeCell ref="F115:G115"/>
    <mergeCell ref="F128:G128"/>
    <mergeCell ref="B139:G139"/>
    <mergeCell ref="B1:S1"/>
    <mergeCell ref="B12:G12"/>
    <mergeCell ref="B13:G13"/>
    <mergeCell ref="B21:G21"/>
    <mergeCell ref="B11:G11"/>
    <mergeCell ref="F3:G4"/>
    <mergeCell ref="B3:B4"/>
    <mergeCell ref="B18:G18"/>
    <mergeCell ref="C3:C4"/>
    <mergeCell ref="B2:S2"/>
    <mergeCell ref="A3:A4"/>
    <mergeCell ref="F14:G14"/>
    <mergeCell ref="B142:G142"/>
    <mergeCell ref="F19:G19"/>
    <mergeCell ref="F65:G65"/>
    <mergeCell ref="F72:G72"/>
    <mergeCell ref="B137:G137"/>
    <mergeCell ref="B22:G22"/>
    <mergeCell ref="B62:G62"/>
    <mergeCell ref="F79:G79"/>
    <mergeCell ref="F144:G144"/>
    <mergeCell ref="F130:G130"/>
    <mergeCell ref="D3:E4"/>
    <mergeCell ref="B138:G138"/>
    <mergeCell ref="B16:G16"/>
    <mergeCell ref="B17:G17"/>
    <mergeCell ref="B10:G10"/>
    <mergeCell ref="B7:G7"/>
    <mergeCell ref="B8:G8"/>
    <mergeCell ref="B9:G9"/>
    <mergeCell ref="S3:S4"/>
    <mergeCell ref="H3:H4"/>
    <mergeCell ref="I3:I4"/>
    <mergeCell ref="J3:R4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Skarbnik</cp:lastModifiedBy>
  <cp:lastPrinted>2013-08-20T08:06:11Z</cp:lastPrinted>
  <dcterms:created xsi:type="dcterms:W3CDTF">2010-06-05T20:15:04Z</dcterms:created>
  <dcterms:modified xsi:type="dcterms:W3CDTF">2013-08-20T08:06:14Z</dcterms:modified>
  <cp:category/>
  <cp:version/>
  <cp:contentType/>
  <cp:contentStatus/>
</cp:coreProperties>
</file>