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1"/>
  </bookViews>
  <sheets>
    <sheet name="Zal_1_WPF_wg_RIO_Lodz" sheetId="1" r:id="rId1"/>
    <sheet name="Zal_1_WPF (tab. tradycyjna)" sheetId="2" r:id="rId2"/>
    <sheet name="Analiza wskaznika" sheetId="3" r:id="rId3"/>
    <sheet name="definicja" sheetId="4" state="hidden" r:id="rId4"/>
    <sheet name="DaneZrodlowe" sheetId="5" r:id="rId5"/>
  </sheets>
  <definedNames>
    <definedName name="_xlnm.Print_Area" localSheetId="2">'Analiza wskaznika'!$A$1:$K$25</definedName>
    <definedName name="_xlnm.Print_Area" localSheetId="1">'Zal_1_WPF (tab. tradycyjna)'!$A$1:$P$43</definedName>
    <definedName name="_xlnm.Print_Area" localSheetId="0">'Zal_1_WPF_wg_RIO_Lodz'!$E$6:$N$61</definedName>
    <definedName name="_xlnm.Print_Titles" localSheetId="2">'Analiza wskaznika'!$A:$A</definedName>
    <definedName name="_xlnm.Print_Titles" localSheetId="1">'Zal_1_WPF (tab. tradycyjna)'!$A:$D,'Zal_1_WPF (tab. tradycyjna)'!$7:$10</definedName>
    <definedName name="_xlnm.Print_Titles" localSheetId="0">'Zal_1_WPF_wg_RIO_Lodz'!$A:$D,'Zal_1_WPF_wg_RIO_Lodz'!$4:$5</definedName>
  </definedNames>
  <calcPr fullCalcOnLoad="1"/>
</workbook>
</file>

<file path=xl/comments1.xml><?xml version="1.0" encoding="utf-8"?>
<comments xmlns="http://schemas.openxmlformats.org/spreadsheetml/2006/main">
  <authors>
    <author>AJG</author>
  </authors>
  <commentList>
    <comment ref="D23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Zawartość tego wiersza trzeba wypełnić samodzielnie </t>
        </r>
      </text>
    </comment>
    <comment ref="B53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Tą część WPF należy wypełnić samodzielnie (BESTI@ nie zawiera tych informacji)</t>
        </r>
      </text>
    </comment>
    <comment ref="B60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W przypadku budżetu nadwyżkowego należy podać przeznaczenie nadwyżki budżetowej</t>
        </r>
      </text>
    </comment>
  </commentList>
</comments>
</file>

<file path=xl/comments2.xml><?xml version="1.0" encoding="utf-8"?>
<comments xmlns="http://schemas.openxmlformats.org/spreadsheetml/2006/main">
  <authors>
    <author>AJG</author>
  </authors>
  <commentList>
    <comment ref="D31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Zawartość tego wiersza trzeba wypełnić samodzielnie </t>
        </r>
      </text>
    </comment>
  </commentList>
</comments>
</file>

<file path=xl/sharedStrings.xml><?xml version="1.0" encoding="utf-8"?>
<sst xmlns="http://schemas.openxmlformats.org/spreadsheetml/2006/main" count="1011" uniqueCount="225">
  <si>
    <t>Lp.</t>
  </si>
  <si>
    <t>Wyszczególnienie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</si>
  <si>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</si>
  <si>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</si>
  <si>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</si>
  <si>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</si>
  <si>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</si>
  <si>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</si>
  <si>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</si>
  <si>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</si>
  <si>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</si>
  <si>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</si>
  <si>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</si>
  <si>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</si>
  <si>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</si>
  <si>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</si>
  <si>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</si>
  <si>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</si>
  <si>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</si>
  <si>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</si>
  <si>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</si>
  <si>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</si>
  <si>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</si>
  <si>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</si>
  <si>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</si>
  <si>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</si>
  <si>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</si>
  <si>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</si>
  <si>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</si>
  <si>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</si>
  <si>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</si>
  <si>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</si>
  <si>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</si>
  <si>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</si>
  <si>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</si>
  <si>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</si>
  <si>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</si>
  <si>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</si>
  <si>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</si>
  <si>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</si>
  <si>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</si>
  <si>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</si>
  <si>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</si>
  <si>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</si>
  <si>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</si>
  <si>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</si>
  <si>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</si>
  <si>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</si>
  <si>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</si>
  <si>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</si>
  <si>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</si>
  <si>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</si>
  <si>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</si>
  <si>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</si>
  <si>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</si>
  <si>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</si>
  <si>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</si>
  <si>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</si>
  <si>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</si>
  <si>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</si>
  <si>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</si>
  <si>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</si>
  <si>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</si>
  <si>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</si>
  <si>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</si>
  <si>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</si>
  <si>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</si>
  <si>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</si>
  <si>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</si>
  <si>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</si>
  <si>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</si>
  <si>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</si>
  <si>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</si>
  <si>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</si>
  <si>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</si>
  <si>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</si>
  <si>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</si>
  <si>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</si>
  <si>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</si>
  <si>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</si>
  <si>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</si>
  <si>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</si>
  <si>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</si>
  <si>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</si>
  <si>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</si>
  <si>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</si>
  <si>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</si>
  <si>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</si>
  <si>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</si>
  <si>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</si>
  <si>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</si>
  <si>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</si>
  <si>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</si>
  <si>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</si>
  <si>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</si>
  <si>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</si>
  <si>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</si>
  <si>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</si>
  <si>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</si>
  <si>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</si>
  <si>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</si>
  <si>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</si>
  <si>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</si>
  <si>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</si>
  <si>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</si>
  <si>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</si>
  <si>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</si>
  <si>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</si>
  <si>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</si>
  <si>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</si>
  <si>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</si>
  <si>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</si>
  <si>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</si>
  <si>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X</t>
  </si>
  <si>
    <t>prawa strona wzoru</t>
  </si>
  <si>
    <t>[Db + Sm - Wb]</t>
  </si>
  <si>
    <t>wsk.jednoroczny [Db + Sm - Wb] / [D]</t>
  </si>
  <si>
    <t>(Suma wsk. z 3 poprzednich lat) / 3</t>
  </si>
  <si>
    <t>lewa strona wzoru</t>
  </si>
  <si>
    <t xml:space="preserve">rok </t>
  </si>
  <si>
    <t>spłata + odsetki+zobowiazania z tytułu poręczeń [R+O]</t>
  </si>
  <si>
    <t>dochody ogółem [D]</t>
  </si>
  <si>
    <t>wskaźnik z roku  bieżącego spłata + odsetki/dochody [R+O]/[D] (bez wyłączeń)</t>
  </si>
  <si>
    <t>zgodność z relacją art. 243 ust. 1 (bez wyłączeń)</t>
  </si>
  <si>
    <t>spłata + odsetk - wyłączenia [[R+O] - wyłączenia ]</t>
  </si>
  <si>
    <t>wskaźnik z roku  bieżącego:  [ R + O - wyłączenia] / [D] (z wyłączeniem spłat)</t>
  </si>
  <si>
    <t>zgodność z relacją art. 243 (z wyłączeniami)</t>
  </si>
  <si>
    <t>[20] -  Wydatki bieżące  [Wb]</t>
  </si>
  <si>
    <t xml:space="preserve">[1c] + ze sprzedaży majątku [Sm] </t>
  </si>
  <si>
    <t xml:space="preserve">[1a] Dochody bieżace [Db] </t>
  </si>
  <si>
    <t>[25] Dochody ogółem [D]</t>
  </si>
  <si>
    <t>[7a] spłata  [R]</t>
  </si>
  <si>
    <t>[7b] odsetki  [O]</t>
  </si>
  <si>
    <t>[2c] zobowiązania z tytyłu poręczeń [O]</t>
  </si>
  <si>
    <t>Dodatkowa analiza wskaźnika z art. 243</t>
  </si>
  <si>
    <t>na podstawie:</t>
  </si>
  <si>
    <r>
      <t xml:space="preserve">[13b] </t>
    </r>
    <r>
      <rPr>
        <sz val="9"/>
        <rFont val="Arial"/>
        <family val="2"/>
      </rPr>
      <t>łączna kwota wyłączeń z art. 243 ust. 3 przypadająca na dany rok budżetowy</t>
    </r>
  </si>
  <si>
    <t>1.</t>
  </si>
  <si>
    <t>Dochody ogółem, z tego:</t>
  </si>
  <si>
    <t>Wydatki ogółem</t>
  </si>
  <si>
    <t>Wydatki bieżące razem</t>
  </si>
  <si>
    <t>Wydatki bieżące bez wydatków na obsługę długu, w tym:</t>
  </si>
  <si>
    <t xml:space="preserve">   z tytułu poręczeń i gwarancji, w tym:</t>
  </si>
  <si>
    <t>Wydatki majątkowe</t>
  </si>
  <si>
    <t>Wynik budżetu</t>
  </si>
  <si>
    <t>Dochody bieżące - wydatki bieżące</t>
  </si>
  <si>
    <t>Przychody budżetu</t>
  </si>
  <si>
    <t>- nadwyżka budżetowa z lat ubiegłych plus wolne środki, zgodnie z art. 217 ufp, angażowane na pokrycie deficytu budżetu roku bieżącego</t>
  </si>
  <si>
    <t>Inne przychody niezwiązane z zaciągnięciem długu</t>
  </si>
  <si>
    <t xml:space="preserve">Rozchody budżetu </t>
  </si>
  <si>
    <t>Rozchody z tytułu spłat rat kapitałowych oraz wykupu papierów wartościowych</t>
  </si>
  <si>
    <t>Maksymalny dopuszczalny wskaźnik spłaty z art. 243 ufp</t>
  </si>
  <si>
    <t>Zadłużenie/dochody ogółem - max 60% z art. 170 sufp</t>
  </si>
  <si>
    <t>Informacja uzupełniająca z art. 226 ust. 2</t>
  </si>
  <si>
    <t>Planowana łączna kwota spłaty zobowiązań/dochody ogółem - max 15% z art. 169 sufp (z wyłączeniami)</t>
  </si>
  <si>
    <t>Relacja planowanej łącznej kwoty spłaty zobowiązań do dochodów  (bez wyłączeń)</t>
  </si>
  <si>
    <t>Układ wg propozycji MF/RIO (dane z systemu Besti@)</t>
  </si>
  <si>
    <t xml:space="preserve">Kontrola poprawności zmiany kwoty długu:  </t>
  </si>
  <si>
    <t xml:space="preserve">Kontrola deficytu:  </t>
  </si>
  <si>
    <t>kontrola kwoty wyłączeń przypadających w roku: 
(7a+2c) &lt; 13b</t>
  </si>
  <si>
    <t xml:space="preserve">Kontrola poprawności bilansowania budżetu 
(D+P)-(W+R)=0:  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</si>
  <si>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</si>
  <si>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</si>
  <si>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</si>
  <si>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w tym: spłata rat kapitałowych pożyczki z budżetu państwa uzyskanej w trybie art. 224 ufp</t>
  </si>
  <si>
    <t>zestawienie wygenerowane na podstawie danych wprowadzonych do systemu BESTI@</t>
  </si>
  <si>
    <t>2</t>
  </si>
  <si>
    <t>MICHAŁOWICE</t>
  </si>
  <si>
    <t>[7a]+[8]</t>
  </si>
  <si>
    <t>Rozchody budżetu (7a + 8)</t>
  </si>
  <si>
    <t>7b</t>
  </si>
  <si>
    <t xml:space="preserve"> wydatki bieżące na obsługę długu</t>
  </si>
  <si>
    <t>[9]-[10]+[11]</t>
  </si>
  <si>
    <t>Rozliczenie budżetu (9-10+11)</t>
  </si>
  <si>
    <t>[4]+[5]+[11]</t>
  </si>
  <si>
    <t>Przychody budżetu (4+5+11)</t>
  </si>
  <si>
    <t>15b</t>
  </si>
  <si>
    <t>([7]+[2c]+[14])/[1]</t>
  </si>
  <si>
    <t>Planowana łączna kwota spłaty zobowiązań po uwzględnieniu art. 244</t>
  </si>
  <si>
    <t>[1]-[20]</t>
  </si>
  <si>
    <t>Wynik budżetu (1 - 20)</t>
  </si>
  <si>
    <t>7a</t>
  </si>
  <si>
    <t xml:space="preserve"> rozchody z tytułu spłaty rat kapitałowych oraz wykupu papierów wartościowych</t>
  </si>
  <si>
    <t>[1a]+[1b]</t>
  </si>
  <si>
    <t>[10]+[19]</t>
  </si>
  <si>
    <t>Wydatki ogółem (10+19)</t>
  </si>
  <si>
    <t>([13]-[13a])/[1]</t>
  </si>
  <si>
    <t>Zadłużenie/dochody ogółem [(13–13a):1] - max 60% z art. 170 sufp</t>
  </si>
  <si>
    <t>2b</t>
  </si>
  <si>
    <t xml:space="preserve"> związane z funkcjonowaniem organów JST</t>
  </si>
  <si>
    <t>[2]+[7b]</t>
  </si>
  <si>
    <t>Wydatki bieżące razem (2 + 7b)</t>
  </si>
  <si>
    <t>([7]+[2c])/[1]</t>
  </si>
  <si>
    <t>Relacja planowanej łącznej kwoty spłat zobowiązań do dochodów</t>
  </si>
  <si>
    <t>1b</t>
  </si>
  <si>
    <t xml:space="preserve"> dochody majątkowe, w tym</t>
  </si>
  <si>
    <t>1a</t>
  </si>
  <si>
    <t xml:space="preserve"> dochody bieżące</t>
  </si>
  <si>
    <t>([7a]+[2c]+[7b]-[2d]-[13b])/[1]</t>
  </si>
  <si>
    <t>Planowana łączna kwota spłaty zobowiązań do dochodów ogółem -max 15% z art. 169 sufp</t>
  </si>
  <si>
    <t>15a</t>
  </si>
  <si>
    <t>[15c]</t>
  </si>
  <si>
    <t>[7a]+[7b]</t>
  </si>
  <si>
    <t>2a</t>
  </si>
  <si>
    <t xml:space="preserve"> na wynagrodzenia i składki od nich naliczane</t>
  </si>
  <si>
    <t>15c</t>
  </si>
  <si>
    <t>([1a]-[19]+[1c])/[1]</t>
  </si>
  <si>
    <t>Relacja (Db-Wb+Dsm)/Do, o której mowa w art. 243 w danym roku</t>
  </si>
  <si>
    <t>[15a]-[15b]</t>
  </si>
  <si>
    <t>[3]+[4]+[5]</t>
  </si>
  <si>
    <t>Środki do dyspozycji (3+4+5)</t>
  </si>
  <si>
    <t>[1]-[2]</t>
  </si>
  <si>
    <t>Różnica (1-2)</t>
  </si>
  <si>
    <t>[6]-[7]-[8]</t>
  </si>
  <si>
    <t>Środki do dyspozycji (6-7-8)</t>
  </si>
  <si>
    <t xml:space="preserve">   gwarancje i poręczenia podlegające wyłączeniu z limitów spłaty zobowiązań z art. 243 ufp/169 sufp</t>
  </si>
  <si>
    <t>Wójta Gminy Michałowice</t>
  </si>
  <si>
    <t>% wykon</t>
  </si>
  <si>
    <t>(w złotych)</t>
  </si>
  <si>
    <t xml:space="preserve">Załącznik nr 1 </t>
  </si>
  <si>
    <t xml:space="preserve">2012 rok </t>
  </si>
  <si>
    <t>Informacja o kształtowaniu się Wieloletniej Prognozy Finansowej Gminy Michałowice za lata 2012 - 2020  -  za I półrocze 2012 roku</t>
  </si>
  <si>
    <t xml:space="preserve">I półrocze 2012  </t>
  </si>
  <si>
    <t xml:space="preserve">do Zarządzenia Nr  164 /2012 </t>
  </si>
  <si>
    <t>z dnia 20 sierpnia 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</si>
</sst>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#,##0.0"/>
  </numFmts>
  <fonts count="47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40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1" fillId="0" borderId="11" xfId="56" applyFont="1" applyBorder="1" applyAlignment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0" fontId="1" fillId="0" borderId="12" xfId="56" applyFont="1" applyBorder="1" applyAlignment="1" quotePrefix="1">
      <alignment vertical="center" wrapText="1"/>
      <protection/>
    </xf>
    <xf numFmtId="10" fontId="2" fillId="0" borderId="13" xfId="56" applyNumberFormat="1" applyFont="1" applyFill="1" applyBorder="1" applyAlignment="1">
      <alignment vertical="center"/>
      <protection/>
    </xf>
    <xf numFmtId="10" fontId="2" fillId="0" borderId="14" xfId="56" applyNumberFormat="1" applyFont="1" applyFill="1" applyBorder="1" applyAlignment="1">
      <alignment vertical="center"/>
      <protection/>
    </xf>
    <xf numFmtId="49" fontId="2" fillId="20" borderId="15" xfId="56" applyNumberFormat="1" applyFont="1" applyFill="1" applyBorder="1" applyAlignment="1">
      <alignment horizontal="center" vertical="center"/>
      <protection/>
    </xf>
    <xf numFmtId="0" fontId="1" fillId="0" borderId="16" xfId="56" applyFont="1" applyBorder="1" applyAlignment="1">
      <alignment horizontal="center" vertical="center"/>
      <protection/>
    </xf>
    <xf numFmtId="0" fontId="2" fillId="0" borderId="16" xfId="56" applyFont="1" applyBorder="1" applyAlignment="1">
      <alignment horizontal="center" vertical="center"/>
      <protection/>
    </xf>
    <xf numFmtId="0" fontId="2" fillId="6" borderId="16" xfId="56" applyFont="1" applyFill="1" applyBorder="1" applyAlignment="1">
      <alignment horizontal="center" vertical="center"/>
      <protection/>
    </xf>
    <xf numFmtId="0" fontId="2" fillId="6" borderId="17" xfId="56" applyFont="1" applyFill="1" applyBorder="1" applyAlignment="1">
      <alignment horizontal="center" vertical="center"/>
      <protection/>
    </xf>
    <xf numFmtId="0" fontId="2" fillId="0" borderId="18" xfId="56" applyFont="1" applyBorder="1" applyAlignment="1">
      <alignment horizontal="center" vertical="center"/>
      <protection/>
    </xf>
    <xf numFmtId="0" fontId="10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/>
    </xf>
    <xf numFmtId="0" fontId="2" fillId="20" borderId="20" xfId="56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top"/>
    </xf>
    <xf numFmtId="49" fontId="2" fillId="20" borderId="21" xfId="56" applyNumberFormat="1" applyFont="1" applyFill="1" applyBorder="1" applyAlignment="1">
      <alignment horizontal="center"/>
      <protection/>
    </xf>
    <xf numFmtId="49" fontId="2" fillId="20" borderId="22" xfId="56" applyNumberFormat="1" applyFont="1" applyFill="1" applyBorder="1" applyAlignment="1">
      <alignment horizontal="center"/>
      <protection/>
    </xf>
    <xf numFmtId="0" fontId="1" fillId="24" borderId="11" xfId="56" applyFont="1" applyFill="1" applyBorder="1" applyAlignment="1" quotePrefix="1">
      <alignment vertical="center" wrapText="1"/>
      <protection/>
    </xf>
    <xf numFmtId="0" fontId="1" fillId="24" borderId="12" xfId="56" applyFont="1" applyFill="1" applyBorder="1" applyAlignment="1" quotePrefix="1">
      <alignment vertical="center" wrapText="1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49" fontId="2" fillId="20" borderId="23" xfId="56" applyNumberFormat="1" applyFont="1" applyFill="1" applyBorder="1" applyAlignment="1">
      <alignment horizontal="center"/>
      <protection/>
    </xf>
    <xf numFmtId="165" fontId="2" fillId="6" borderId="24" xfId="56" applyNumberFormat="1" applyFont="1" applyFill="1" applyBorder="1" applyAlignment="1" applyProtection="1">
      <alignment vertical="center"/>
      <protection locked="0"/>
    </xf>
    <xf numFmtId="165" fontId="1" fillId="6" borderId="25" xfId="56" applyNumberFormat="1" applyFont="1" applyFill="1" applyBorder="1" applyAlignment="1" applyProtection="1">
      <alignment vertical="center"/>
      <protection locked="0"/>
    </xf>
    <xf numFmtId="165" fontId="2" fillId="6" borderId="25" xfId="56" applyNumberFormat="1" applyFont="1" applyFill="1" applyBorder="1" applyAlignment="1" applyProtection="1">
      <alignment vertical="center"/>
      <protection locked="0"/>
    </xf>
    <xf numFmtId="165" fontId="1" fillId="6" borderId="25" xfId="56" applyNumberFormat="1" applyFont="1" applyFill="1" applyBorder="1" applyAlignment="1" applyProtection="1">
      <alignment horizontal="center" vertical="center"/>
      <protection locked="0"/>
    </xf>
    <xf numFmtId="165" fontId="2" fillId="6" borderId="26" xfId="56" applyNumberFormat="1" applyFont="1" applyFill="1" applyBorder="1" applyAlignment="1" applyProtection="1">
      <alignment vertical="center"/>
      <protection locked="0"/>
    </xf>
    <xf numFmtId="165" fontId="2" fillId="6" borderId="27" xfId="56" applyNumberFormat="1" applyFont="1" applyFill="1" applyBorder="1" applyAlignment="1" applyProtection="1">
      <alignment vertical="center"/>
      <protection locked="0"/>
    </xf>
    <xf numFmtId="49" fontId="2" fillId="20" borderId="28" xfId="56" applyNumberFormat="1" applyFont="1" applyFill="1" applyBorder="1" applyAlignment="1">
      <alignment horizontal="center"/>
      <protection/>
    </xf>
    <xf numFmtId="49" fontId="2" fillId="20" borderId="15" xfId="56" applyNumberFormat="1" applyFont="1" applyFill="1" applyBorder="1" applyAlignment="1">
      <alignment horizontal="center"/>
      <protection/>
    </xf>
    <xf numFmtId="165" fontId="1" fillId="8" borderId="16" xfId="56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right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5" fillId="24" borderId="29" xfId="0" applyFont="1" applyFill="1" applyBorder="1" applyAlignment="1" applyProtection="1">
      <alignment horizontal="center" vertical="center" wrapText="1"/>
      <protection/>
    </xf>
    <xf numFmtId="0" fontId="15" fillId="11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31" fillId="0" borderId="0" xfId="0" applyFont="1" applyAlignment="1">
      <alignment/>
    </xf>
    <xf numFmtId="0" fontId="36" fillId="0" borderId="0" xfId="0" applyFont="1" applyAlignment="1">
      <alignment horizontal="right"/>
    </xf>
    <xf numFmtId="0" fontId="16" fillId="20" borderId="29" xfId="0" applyFont="1" applyFill="1" applyBorder="1" applyAlignment="1" applyProtection="1">
      <alignment/>
      <protection locked="0"/>
    </xf>
    <xf numFmtId="4" fontId="17" fillId="25" borderId="29" xfId="0" applyNumberFormat="1" applyFont="1" applyFill="1" applyBorder="1" applyAlignment="1" applyProtection="1">
      <alignment vertical="center"/>
      <protection locked="0"/>
    </xf>
    <xf numFmtId="10" fontId="15" fillId="26" borderId="29" xfId="59" applyNumberFormat="1" applyFont="1" applyFill="1" applyBorder="1" applyAlignment="1" applyProtection="1">
      <alignment vertical="center"/>
      <protection/>
    </xf>
    <xf numFmtId="10" fontId="16" fillId="26" borderId="29" xfId="59" applyNumberFormat="1" applyFont="1" applyFill="1" applyBorder="1" applyAlignment="1" applyProtection="1">
      <alignment horizontal="right" vertical="center"/>
      <protection/>
    </xf>
    <xf numFmtId="0" fontId="16" fillId="26" borderId="30" xfId="0" applyFont="1" applyFill="1" applyBorder="1" applyAlignment="1" applyProtection="1">
      <alignment/>
      <protection locked="0"/>
    </xf>
    <xf numFmtId="0" fontId="16" fillId="26" borderId="31" xfId="0" applyFont="1" applyFill="1" applyBorder="1" applyAlignment="1" applyProtection="1">
      <alignment/>
      <protection locked="0"/>
    </xf>
    <xf numFmtId="4" fontId="15" fillId="25" borderId="32" xfId="0" applyNumberFormat="1" applyFont="1" applyFill="1" applyBorder="1" applyAlignment="1" applyProtection="1">
      <alignment vertical="center"/>
      <protection locked="0"/>
    </xf>
    <xf numFmtId="4" fontId="15" fillId="25" borderId="33" xfId="0" applyNumberFormat="1" applyFont="1" applyFill="1" applyBorder="1" applyAlignment="1" applyProtection="1">
      <alignment vertical="center"/>
      <protection locked="0"/>
    </xf>
    <xf numFmtId="10" fontId="16" fillId="26" borderId="34" xfId="59" applyNumberFormat="1" applyFont="1" applyFill="1" applyBorder="1" applyAlignment="1" applyProtection="1">
      <alignment vertical="center"/>
      <protection/>
    </xf>
    <xf numFmtId="4" fontId="16" fillId="26" borderId="29" xfId="59" applyNumberFormat="1" applyFont="1" applyFill="1" applyBorder="1" applyAlignment="1" applyProtection="1">
      <alignment vertical="center"/>
      <protection/>
    </xf>
    <xf numFmtId="10" fontId="16" fillId="26" borderId="29" xfId="59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5" fillId="0" borderId="29" xfId="0" applyFont="1" applyBorder="1" applyAlignment="1" applyProtection="1">
      <alignment vertical="center" wrapText="1"/>
      <protection locked="0"/>
    </xf>
    <xf numFmtId="0" fontId="16" fillId="26" borderId="29" xfId="0" applyFont="1" applyFill="1" applyBorder="1" applyAlignment="1" applyProtection="1">
      <alignment vertical="center" wrapText="1"/>
      <protection/>
    </xf>
    <xf numFmtId="4" fontId="17" fillId="26" borderId="29" xfId="0" applyNumberFormat="1" applyFont="1" applyFill="1" applyBorder="1" applyAlignment="1" applyProtection="1">
      <alignment vertical="center"/>
      <protection/>
    </xf>
    <xf numFmtId="0" fontId="16" fillId="26" borderId="29" xfId="0" applyFont="1" applyFill="1" applyBorder="1" applyAlignment="1" applyProtection="1">
      <alignment vertical="center" wrapText="1"/>
      <protection locked="0"/>
    </xf>
    <xf numFmtId="4" fontId="17" fillId="25" borderId="29" xfId="0" applyNumberFormat="1" applyFont="1" applyFill="1" applyBorder="1" applyAlignment="1" applyProtection="1">
      <alignment vertical="center"/>
      <protection locked="0"/>
    </xf>
    <xf numFmtId="0" fontId="16" fillId="26" borderId="29" xfId="0" applyFont="1" applyFill="1" applyBorder="1" applyAlignment="1" applyProtection="1">
      <alignment horizontal="center" vertical="center" wrapText="1"/>
      <protection/>
    </xf>
    <xf numFmtId="0" fontId="17" fillId="26" borderId="0" xfId="0" applyFont="1" applyFill="1" applyBorder="1" applyAlignment="1" applyProtection="1">
      <alignment/>
      <protection locked="0"/>
    </xf>
    <xf numFmtId="0" fontId="16" fillId="26" borderId="18" xfId="0" applyFont="1" applyFill="1" applyBorder="1" applyAlignment="1" applyProtection="1">
      <alignment vertical="center" wrapText="1"/>
      <protection locked="0"/>
    </xf>
    <xf numFmtId="4" fontId="17" fillId="25" borderId="32" xfId="0" applyNumberFormat="1" applyFont="1" applyFill="1" applyBorder="1" applyAlignment="1" applyProtection="1">
      <alignment vertical="center"/>
      <protection locked="0"/>
    </xf>
    <xf numFmtId="0" fontId="16" fillId="26" borderId="16" xfId="0" applyFont="1" applyFill="1" applyBorder="1" applyAlignment="1" applyProtection="1">
      <alignment vertical="center" wrapText="1"/>
      <protection locked="0"/>
    </xf>
    <xf numFmtId="4" fontId="17" fillId="25" borderId="10" xfId="0" applyNumberFormat="1" applyFont="1" applyFill="1" applyBorder="1" applyAlignment="1" applyProtection="1">
      <alignment vertical="center"/>
      <protection locked="0"/>
    </xf>
    <xf numFmtId="0" fontId="16" fillId="26" borderId="19" xfId="0" applyFont="1" applyFill="1" applyBorder="1" applyAlignment="1" applyProtection="1">
      <alignment vertical="center" wrapText="1"/>
      <protection/>
    </xf>
    <xf numFmtId="4" fontId="17" fillId="26" borderId="13" xfId="0" applyNumberFormat="1" applyFont="1" applyFill="1" applyBorder="1" applyAlignment="1" applyProtection="1">
      <alignment vertical="center"/>
      <protection/>
    </xf>
    <xf numFmtId="4" fontId="17" fillId="26" borderId="35" xfId="0" applyNumberFormat="1" applyFont="1" applyFill="1" applyBorder="1" applyAlignment="1" applyProtection="1">
      <alignment vertical="center"/>
      <protection/>
    </xf>
    <xf numFmtId="0" fontId="16" fillId="26" borderId="15" xfId="0" applyFont="1" applyFill="1" applyBorder="1" applyAlignment="1" applyProtection="1">
      <alignment vertical="center" wrapText="1"/>
      <protection/>
    </xf>
    <xf numFmtId="4" fontId="17" fillId="0" borderId="21" xfId="0" applyNumberFormat="1" applyFont="1" applyFill="1" applyBorder="1" applyAlignment="1" applyProtection="1">
      <alignment vertical="center"/>
      <protection/>
    </xf>
    <xf numFmtId="4" fontId="17" fillId="0" borderId="36" xfId="0" applyNumberFormat="1" applyFont="1" applyFill="1" applyBorder="1" applyAlignment="1" applyProtection="1">
      <alignment vertical="center"/>
      <protection/>
    </xf>
    <xf numFmtId="0" fontId="16" fillId="26" borderId="32" xfId="0" applyFont="1" applyFill="1" applyBorder="1" applyAlignment="1" applyProtection="1">
      <alignment vertical="center" wrapText="1"/>
      <protection/>
    </xf>
    <xf numFmtId="0" fontId="16" fillId="24" borderId="29" xfId="0" applyFont="1" applyFill="1" applyBorder="1" applyAlignment="1" applyProtection="1">
      <alignment vertical="center" wrapText="1"/>
      <protection locked="0"/>
    </xf>
    <xf numFmtId="0" fontId="16" fillId="0" borderId="29" xfId="0" applyFont="1" applyFill="1" applyBorder="1" applyAlignment="1" applyProtection="1">
      <alignment vertical="center" wrapText="1"/>
      <protection locked="0"/>
    </xf>
    <xf numFmtId="0" fontId="16" fillId="11" borderId="29" xfId="0" applyFont="1" applyFill="1" applyBorder="1" applyAlignment="1" applyProtection="1">
      <alignment vertical="center" wrapText="1"/>
      <protection locked="0"/>
    </xf>
    <xf numFmtId="49" fontId="2" fillId="20" borderId="30" xfId="57" applyNumberFormat="1" applyFont="1" applyFill="1" applyBorder="1" applyAlignment="1">
      <alignment horizontal="right" vertical="center"/>
      <protection/>
    </xf>
    <xf numFmtId="0" fontId="6" fillId="20" borderId="0" xfId="0" applyFont="1" applyFill="1" applyAlignment="1">
      <alignment horizontal="center"/>
    </xf>
    <xf numFmtId="165" fontId="2" fillId="0" borderId="32" xfId="57" applyNumberFormat="1" applyFont="1" applyBorder="1" applyAlignment="1">
      <alignment vertical="center"/>
      <protection/>
    </xf>
    <xf numFmtId="165" fontId="1" fillId="0" borderId="29" xfId="57" applyNumberFormat="1" applyFont="1" applyBorder="1" applyAlignment="1">
      <alignment vertical="center"/>
      <protection/>
    </xf>
    <xf numFmtId="165" fontId="1" fillId="0" borderId="13" xfId="57" applyNumberFormat="1" applyFont="1" applyBorder="1" applyAlignment="1">
      <alignment vertical="center"/>
      <protection/>
    </xf>
    <xf numFmtId="165" fontId="2" fillId="0" borderId="29" xfId="57" applyNumberFormat="1" applyFont="1" applyBorder="1" applyAlignment="1">
      <alignment vertical="center"/>
      <protection/>
    </xf>
    <xf numFmtId="0" fontId="6" fillId="0" borderId="37" xfId="0" applyFont="1" applyBorder="1" applyAlignment="1">
      <alignment/>
    </xf>
    <xf numFmtId="165" fontId="2" fillId="0" borderId="13" xfId="57" applyNumberFormat="1" applyFont="1" applyBorder="1" applyAlignment="1">
      <alignment vertical="center"/>
      <protection/>
    </xf>
    <xf numFmtId="165" fontId="2" fillId="0" borderId="34" xfId="57" applyNumberFormat="1" applyFont="1" applyBorder="1" applyAlignment="1">
      <alignment vertical="center"/>
      <protection/>
    </xf>
    <xf numFmtId="10" fontId="2" fillId="0" borderId="29" xfId="57" applyNumberFormat="1" applyFont="1" applyBorder="1" applyAlignment="1">
      <alignment vertical="center"/>
      <protection/>
    </xf>
    <xf numFmtId="0" fontId="2" fillId="0" borderId="29" xfId="57" applyFont="1" applyBorder="1" applyAlignment="1">
      <alignment horizontal="center" vertical="center" wrapText="1"/>
      <protection/>
    </xf>
    <xf numFmtId="10" fontId="2" fillId="20" borderId="29" xfId="57" applyNumberFormat="1" applyFont="1" applyFill="1" applyBorder="1" applyAlignment="1">
      <alignment vertical="center"/>
      <protection/>
    </xf>
    <xf numFmtId="10" fontId="2" fillId="0" borderId="13" xfId="57" applyNumberFormat="1" applyFont="1" applyBorder="1" applyAlignment="1">
      <alignment vertical="center"/>
      <protection/>
    </xf>
    <xf numFmtId="10" fontId="2" fillId="20" borderId="13" xfId="57" applyNumberFormat="1" applyFont="1" applyFill="1" applyBorder="1" applyAlignment="1">
      <alignment vertical="center"/>
      <protection/>
    </xf>
    <xf numFmtId="0" fontId="1" fillId="0" borderId="0" xfId="57" applyFont="1" applyBorder="1" applyAlignment="1">
      <alignment vertical="center" wrapText="1"/>
      <protection/>
    </xf>
    <xf numFmtId="0" fontId="1" fillId="0" borderId="0" xfId="57" applyFont="1" applyBorder="1" applyAlignment="1" quotePrefix="1">
      <alignment horizontal="left"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38" xfId="56" applyNumberFormat="1" applyFont="1" applyFill="1" applyBorder="1" applyAlignment="1" applyProtection="1">
      <alignment vertical="center"/>
      <protection locked="0"/>
    </xf>
    <xf numFmtId="10" fontId="1" fillId="0" borderId="16" xfId="56" applyNumberFormat="1" applyFont="1" applyFill="1" applyBorder="1" applyAlignment="1" applyProtection="1">
      <alignment vertical="center"/>
      <protection/>
    </xf>
    <xf numFmtId="0" fontId="16" fillId="26" borderId="30" xfId="0" applyFont="1" applyFill="1" applyBorder="1" applyAlignment="1" applyProtection="1">
      <alignment horizontal="right"/>
      <protection locked="0"/>
    </xf>
    <xf numFmtId="10" fontId="16" fillId="24" borderId="29" xfId="59" applyNumberFormat="1" applyFont="1" applyFill="1" applyBorder="1" applyAlignment="1" applyProtection="1">
      <alignment horizontal="right" vertical="center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6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165" fontId="1" fillId="0" borderId="16" xfId="56" applyNumberFormat="1" applyFont="1" applyFill="1" applyBorder="1" applyAlignment="1" applyProtection="1">
      <alignment vertical="center"/>
      <protection locked="0"/>
    </xf>
    <xf numFmtId="165" fontId="2" fillId="0" borderId="34" xfId="56" applyNumberFormat="1" applyFont="1" applyFill="1" applyBorder="1" applyAlignment="1" applyProtection="1">
      <alignment vertical="center"/>
      <protection locked="0"/>
    </xf>
    <xf numFmtId="165" fontId="2" fillId="0" borderId="39" xfId="56" applyNumberFormat="1" applyFont="1" applyFill="1" applyBorder="1" applyAlignment="1" applyProtection="1">
      <alignment vertical="center"/>
      <protection locked="0"/>
    </xf>
    <xf numFmtId="166" fontId="2" fillId="0" borderId="39" xfId="56" applyNumberFormat="1" applyFont="1" applyFill="1" applyBorder="1" applyAlignment="1" applyProtection="1">
      <alignment vertical="center"/>
      <protection locked="0"/>
    </xf>
    <xf numFmtId="165" fontId="1" fillId="0" borderId="29" xfId="56" applyNumberFormat="1" applyFont="1" applyFill="1" applyBorder="1" applyAlignment="1" applyProtection="1">
      <alignment vertical="center"/>
      <protection locked="0"/>
    </xf>
    <xf numFmtId="165" fontId="1" fillId="0" borderId="40" xfId="56" applyNumberFormat="1" applyFont="1" applyFill="1" applyBorder="1" applyAlignment="1" applyProtection="1">
      <alignment vertical="center"/>
      <protection locked="0"/>
    </xf>
    <xf numFmtId="166" fontId="1" fillId="0" borderId="40" xfId="56" applyNumberFormat="1" applyFont="1" applyFill="1" applyBorder="1" applyAlignment="1" applyProtection="1">
      <alignment vertical="center"/>
      <protection locked="0"/>
    </xf>
    <xf numFmtId="165" fontId="2" fillId="0" borderId="16" xfId="56" applyNumberFormat="1" applyFont="1" applyFill="1" applyBorder="1" applyAlignment="1" applyProtection="1">
      <alignment vertical="center"/>
      <protection locked="0"/>
    </xf>
    <xf numFmtId="165" fontId="2" fillId="0" borderId="29" xfId="56" applyNumberFormat="1" applyFont="1" applyFill="1" applyBorder="1" applyAlignment="1" applyProtection="1">
      <alignment vertical="center"/>
      <protection locked="0"/>
    </xf>
    <xf numFmtId="165" fontId="2" fillId="0" borderId="40" xfId="56" applyNumberFormat="1" applyFont="1" applyFill="1" applyBorder="1" applyAlignment="1" applyProtection="1">
      <alignment vertical="center"/>
      <protection locked="0"/>
    </xf>
    <xf numFmtId="166" fontId="2" fillId="0" borderId="40" xfId="56" applyNumberFormat="1" applyFont="1" applyFill="1" applyBorder="1" applyAlignment="1" applyProtection="1">
      <alignment vertical="center"/>
      <protection locked="0"/>
    </xf>
    <xf numFmtId="165" fontId="2" fillId="0" borderId="17" xfId="56" applyNumberFormat="1" applyFont="1" applyFill="1" applyBorder="1" applyAlignment="1" applyProtection="1">
      <alignment vertical="center"/>
      <protection locked="0"/>
    </xf>
    <xf numFmtId="165" fontId="2" fillId="0" borderId="30" xfId="56" applyNumberFormat="1" applyFont="1" applyFill="1" applyBorder="1" applyAlignment="1" applyProtection="1">
      <alignment vertical="center"/>
      <protection locked="0"/>
    </xf>
    <xf numFmtId="165" fontId="2" fillId="0" borderId="41" xfId="56" applyNumberFormat="1" applyFont="1" applyFill="1" applyBorder="1" applyAlignment="1" applyProtection="1">
      <alignment vertical="center"/>
      <protection locked="0"/>
    </xf>
    <xf numFmtId="166" fontId="2" fillId="0" borderId="41" xfId="56" applyNumberFormat="1" applyFont="1" applyFill="1" applyBorder="1" applyAlignment="1" applyProtection="1">
      <alignment vertical="center"/>
      <protection locked="0"/>
    </xf>
    <xf numFmtId="165" fontId="2" fillId="0" borderId="18" xfId="56" applyNumberFormat="1" applyFont="1" applyFill="1" applyBorder="1" applyAlignment="1" applyProtection="1">
      <alignment vertical="center"/>
      <protection locked="0"/>
    </xf>
    <xf numFmtId="165" fontId="2" fillId="0" borderId="32" xfId="56" applyNumberFormat="1" applyFont="1" applyFill="1" applyBorder="1" applyAlignment="1" applyProtection="1">
      <alignment vertical="center"/>
      <protection locked="0"/>
    </xf>
    <xf numFmtId="165" fontId="2" fillId="0" borderId="42" xfId="56" applyNumberFormat="1" applyFont="1" applyFill="1" applyBorder="1" applyAlignment="1" applyProtection="1">
      <alignment vertical="center"/>
      <protection locked="0"/>
    </xf>
    <xf numFmtId="166" fontId="2" fillId="0" borderId="42" xfId="56" applyNumberFormat="1" applyFont="1" applyFill="1" applyBorder="1" applyAlignment="1" applyProtection="1">
      <alignment vertical="center"/>
      <protection locked="0"/>
    </xf>
    <xf numFmtId="165" fontId="2" fillId="0" borderId="19" xfId="56" applyNumberFormat="1" applyFont="1" applyFill="1" applyBorder="1" applyAlignment="1" applyProtection="1">
      <alignment vertical="center"/>
      <protection locked="0"/>
    </xf>
    <xf numFmtId="165" fontId="2" fillId="0" borderId="13" xfId="56" applyNumberFormat="1" applyFont="1" applyFill="1" applyBorder="1" applyAlignment="1" applyProtection="1">
      <alignment vertical="center"/>
      <protection locked="0"/>
    </xf>
    <xf numFmtId="165" fontId="2" fillId="0" borderId="14" xfId="56" applyNumberFormat="1" applyFont="1" applyFill="1" applyBorder="1" applyAlignment="1" applyProtection="1">
      <alignment vertical="center"/>
      <protection locked="0"/>
    </xf>
    <xf numFmtId="166" fontId="2" fillId="0" borderId="14" xfId="56" applyNumberFormat="1" applyFont="1" applyFill="1" applyBorder="1" applyAlignment="1" applyProtection="1">
      <alignment vertical="center"/>
      <protection locked="0"/>
    </xf>
    <xf numFmtId="10" fontId="2" fillId="0" borderId="34" xfId="56" applyNumberFormat="1" applyFont="1" applyFill="1" applyBorder="1" applyAlignment="1">
      <alignment vertical="center"/>
      <protection/>
    </xf>
    <xf numFmtId="10" fontId="2" fillId="0" borderId="29" xfId="56" applyNumberFormat="1" applyFont="1" applyFill="1" applyBorder="1" applyAlignment="1">
      <alignment vertical="center"/>
      <protection/>
    </xf>
    <xf numFmtId="10" fontId="2" fillId="0" borderId="40" xfId="56" applyNumberFormat="1" applyFont="1" applyFill="1" applyBorder="1" applyAlignment="1">
      <alignment vertical="center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40" xfId="56" applyFont="1" applyFill="1" applyBorder="1" applyAlignment="1">
      <alignment horizontal="center" vertical="center" wrapText="1"/>
      <protection/>
    </xf>
    <xf numFmtId="49" fontId="2" fillId="0" borderId="15" xfId="56" applyNumberFormat="1" applyFont="1" applyFill="1" applyBorder="1" applyAlignment="1">
      <alignment horizontal="center" vertical="center"/>
      <protection/>
    </xf>
    <xf numFmtId="49" fontId="2" fillId="0" borderId="15" xfId="56" applyNumberFormat="1" applyFont="1" applyFill="1" applyBorder="1" applyAlignment="1">
      <alignment horizontal="center"/>
      <protection/>
    </xf>
    <xf numFmtId="49" fontId="2" fillId="0" borderId="21" xfId="56" applyNumberFormat="1" applyFont="1" applyFill="1" applyBorder="1" applyAlignment="1">
      <alignment horizontal="center"/>
      <protection/>
    </xf>
    <xf numFmtId="49" fontId="2" fillId="0" borderId="22" xfId="56" applyNumberFormat="1" applyFont="1" applyFill="1" applyBorder="1" applyAlignment="1">
      <alignment horizontal="center"/>
      <protection/>
    </xf>
    <xf numFmtId="49" fontId="2" fillId="0" borderId="28" xfId="56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" fillId="0" borderId="20" xfId="56" applyFont="1" applyFill="1" applyBorder="1" applyAlignment="1">
      <alignment horizontal="center" vertical="center"/>
      <protection/>
    </xf>
    <xf numFmtId="0" fontId="1" fillId="0" borderId="16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vertical="center" wrapText="1"/>
      <protection/>
    </xf>
    <xf numFmtId="0" fontId="1" fillId="0" borderId="10" xfId="56" applyFont="1" applyFill="1" applyBorder="1" applyAlignment="1" quotePrefix="1">
      <alignment vertical="center" wrapText="1"/>
      <protection/>
    </xf>
    <xf numFmtId="0" fontId="1" fillId="0" borderId="11" xfId="56" applyFont="1" applyFill="1" applyBorder="1" applyAlignment="1" quotePrefix="1">
      <alignment vertical="center" wrapText="1"/>
      <protection/>
    </xf>
    <xf numFmtId="0" fontId="1" fillId="0" borderId="12" xfId="56" applyFont="1" applyFill="1" applyBorder="1" applyAlignment="1" quotePrefix="1">
      <alignment vertical="center" wrapText="1"/>
      <protection/>
    </xf>
    <xf numFmtId="0" fontId="2" fillId="0" borderId="16" xfId="56" applyFont="1" applyFill="1" applyBorder="1" applyAlignment="1">
      <alignment horizontal="center" vertical="center"/>
      <protection/>
    </xf>
    <xf numFmtId="0" fontId="1" fillId="0" borderId="11" xfId="56" applyFont="1" applyFill="1" applyBorder="1" applyAlignment="1">
      <alignment vertical="center" wrapText="1"/>
      <protection/>
    </xf>
    <xf numFmtId="0" fontId="1" fillId="0" borderId="12" xfId="56" applyFont="1" applyFill="1" applyBorder="1" applyAlignment="1">
      <alignment vertical="center" wrapText="1"/>
      <protection/>
    </xf>
    <xf numFmtId="0" fontId="2" fillId="0" borderId="17" xfId="56" applyFont="1" applyFill="1" applyBorder="1" applyAlignment="1">
      <alignment horizontal="center" vertical="center"/>
      <protection/>
    </xf>
    <xf numFmtId="0" fontId="2" fillId="0" borderId="18" xfId="56" applyFont="1" applyFill="1" applyBorder="1" applyAlignment="1">
      <alignment horizontal="center" vertical="center"/>
      <protection/>
    </xf>
    <xf numFmtId="0" fontId="2" fillId="0" borderId="19" xfId="56" applyFont="1" applyFill="1" applyBorder="1" applyAlignment="1">
      <alignment horizontal="center" vertical="center"/>
      <protection/>
    </xf>
    <xf numFmtId="0" fontId="11" fillId="0" borderId="43" xfId="56" applyFont="1" applyFill="1" applyBorder="1" applyAlignment="1">
      <alignment horizontal="center" vertical="center"/>
      <protection/>
    </xf>
    <xf numFmtId="166" fontId="1" fillId="0" borderId="44" xfId="56" applyNumberFormat="1" applyFont="1" applyFill="1" applyBorder="1" applyAlignment="1">
      <alignment vertical="center"/>
      <protection/>
    </xf>
    <xf numFmtId="166" fontId="1" fillId="0" borderId="45" xfId="56" applyNumberFormat="1" applyFont="1" applyFill="1" applyBorder="1" applyAlignment="1">
      <alignment vertical="center"/>
      <protection/>
    </xf>
    <xf numFmtId="0" fontId="11" fillId="0" borderId="16" xfId="56" applyFont="1" applyFill="1" applyBorder="1" applyAlignment="1">
      <alignment horizontal="center" vertical="center"/>
      <protection/>
    </xf>
    <xf numFmtId="166" fontId="1" fillId="0" borderId="29" xfId="56" applyNumberFormat="1" applyFont="1" applyFill="1" applyBorder="1" applyAlignment="1">
      <alignment vertical="center"/>
      <protection/>
    </xf>
    <xf numFmtId="166" fontId="1" fillId="0" borderId="40" xfId="56" applyNumberFormat="1" applyFont="1" applyFill="1" applyBorder="1" applyAlignment="1">
      <alignment vertical="center"/>
      <protection/>
    </xf>
    <xf numFmtId="0" fontId="7" fillId="0" borderId="16" xfId="56" applyFont="1" applyFill="1" applyBorder="1" applyAlignment="1">
      <alignment horizontal="center" vertical="center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40" xfId="56" applyNumberFormat="1" applyFont="1" applyFill="1" applyBorder="1" applyAlignment="1">
      <alignment vertical="center"/>
      <protection/>
    </xf>
    <xf numFmtId="0" fontId="11" fillId="0" borderId="29" xfId="56" applyFont="1" applyFill="1" applyBorder="1" applyAlignment="1">
      <alignment horizontal="left" vertical="center" wrapText="1"/>
      <protection/>
    </xf>
    <xf numFmtId="0" fontId="11" fillId="0" borderId="40" xfId="56" applyFont="1" applyFill="1" applyBorder="1" applyAlignment="1">
      <alignment horizontal="left" vertical="center" wrapText="1"/>
      <protection/>
    </xf>
    <xf numFmtId="0" fontId="11" fillId="0" borderId="29" xfId="56" applyFont="1" applyFill="1" applyBorder="1" applyAlignment="1">
      <alignment horizontal="left" vertical="center"/>
      <protection/>
    </xf>
    <xf numFmtId="0" fontId="11" fillId="0" borderId="19" xfId="56" applyFont="1" applyFill="1" applyBorder="1" applyAlignment="1">
      <alignment horizontal="center" vertical="center"/>
      <protection/>
    </xf>
    <xf numFmtId="166" fontId="1" fillId="0" borderId="13" xfId="56" applyNumberFormat="1" applyFont="1" applyFill="1" applyBorder="1" applyAlignment="1">
      <alignment vertical="center"/>
      <protection/>
    </xf>
    <xf numFmtId="166" fontId="1" fillId="0" borderId="14" xfId="56" applyNumberFormat="1" applyFont="1" applyFill="1" applyBorder="1" applyAlignment="1">
      <alignment vertical="center"/>
      <protection/>
    </xf>
    <xf numFmtId="165" fontId="1" fillId="8" borderId="16" xfId="56" applyNumberFormat="1" applyFont="1" applyFill="1" applyBorder="1" applyAlignment="1" applyProtection="1">
      <alignment vertical="center"/>
      <protection locked="0"/>
    </xf>
    <xf numFmtId="165" fontId="1" fillId="8" borderId="29" xfId="56" applyNumberFormat="1" applyFont="1" applyFill="1" applyBorder="1" applyAlignment="1" applyProtection="1">
      <alignment vertical="center"/>
      <protection locked="0"/>
    </xf>
    <xf numFmtId="165" fontId="1" fillId="8" borderId="40" xfId="56" applyNumberFormat="1" applyFont="1" applyFill="1" applyBorder="1" applyAlignment="1" applyProtection="1">
      <alignment vertical="center"/>
      <protection locked="0"/>
    </xf>
    <xf numFmtId="166" fontId="1" fillId="8" borderId="40" xfId="56" applyNumberFormat="1" applyFont="1" applyFill="1" applyBorder="1" applyAlignment="1" applyProtection="1">
      <alignment vertical="center"/>
      <protection locked="0"/>
    </xf>
    <xf numFmtId="165" fontId="2" fillId="8" borderId="32" xfId="56" applyNumberFormat="1" applyFont="1" applyFill="1" applyBorder="1" applyAlignment="1">
      <alignment horizontal="center" vertical="center"/>
      <protection/>
    </xf>
    <xf numFmtId="165" fontId="2" fillId="8" borderId="42" xfId="56" applyNumberFormat="1" applyFont="1" applyFill="1" applyBorder="1" applyAlignment="1">
      <alignment horizontal="center" vertical="center"/>
      <protection/>
    </xf>
    <xf numFmtId="165" fontId="2" fillId="8" borderId="29" xfId="56" applyNumberFormat="1" applyFont="1" applyFill="1" applyBorder="1" applyAlignment="1">
      <alignment vertical="center"/>
      <protection/>
    </xf>
    <xf numFmtId="165" fontId="2" fillId="8" borderId="40" xfId="56" applyNumberFormat="1" applyFont="1" applyFill="1" applyBorder="1" applyAlignment="1">
      <alignment vertical="center"/>
      <protection/>
    </xf>
    <xf numFmtId="165" fontId="2" fillId="8" borderId="13" xfId="56" applyNumberFormat="1" applyFont="1" applyFill="1" applyBorder="1" applyAlignment="1">
      <alignment vertical="center"/>
      <protection/>
    </xf>
    <xf numFmtId="165" fontId="2" fillId="8" borderId="14" xfId="56" applyNumberFormat="1" applyFont="1" applyFill="1" applyBorder="1" applyAlignment="1">
      <alignment vertical="center"/>
      <protection/>
    </xf>
    <xf numFmtId="165" fontId="2" fillId="8" borderId="34" xfId="56" applyNumberFormat="1" applyFont="1" applyFill="1" applyBorder="1" applyAlignment="1">
      <alignment vertical="center"/>
      <protection/>
    </xf>
    <xf numFmtId="165" fontId="2" fillId="8" borderId="39" xfId="56" applyNumberFormat="1" applyFont="1" applyFill="1" applyBorder="1" applyAlignment="1">
      <alignment vertical="center"/>
      <protection/>
    </xf>
    <xf numFmtId="49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13" fillId="0" borderId="46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7" fillId="0" borderId="0" xfId="0" applyFont="1" applyAlignment="1">
      <alignment/>
    </xf>
    <xf numFmtId="165" fontId="1" fillId="0" borderId="47" xfId="57" applyNumberFormat="1" applyFont="1" applyBorder="1" applyAlignment="1">
      <alignment vertical="center"/>
      <protection/>
    </xf>
    <xf numFmtId="165" fontId="1" fillId="0" borderId="48" xfId="57" applyNumberFormat="1" applyFont="1" applyBorder="1" applyAlignment="1">
      <alignment vertical="center"/>
      <protection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49" xfId="57" applyFont="1" applyBorder="1" applyAlignment="1">
      <alignment vertical="center"/>
      <protection/>
    </xf>
    <xf numFmtId="0" fontId="39" fillId="0" borderId="48" xfId="57" applyFont="1" applyBorder="1" applyAlignment="1">
      <alignment vertical="center" wrapText="1"/>
      <protection/>
    </xf>
    <xf numFmtId="0" fontId="40" fillId="0" borderId="11" xfId="57" applyFont="1" applyBorder="1" applyAlignment="1">
      <alignment vertical="center" wrapText="1"/>
      <protection/>
    </xf>
    <xf numFmtId="0" fontId="40" fillId="0" borderId="11" xfId="57" applyFont="1" applyBorder="1" applyAlignment="1">
      <alignment horizontal="left" vertical="center" wrapText="1"/>
      <protection/>
    </xf>
    <xf numFmtId="165" fontId="40" fillId="0" borderId="29" xfId="57" applyNumberFormat="1" applyFont="1" applyBorder="1" applyAlignment="1">
      <alignment vertical="center"/>
      <protection/>
    </xf>
    <xf numFmtId="0" fontId="40" fillId="0" borderId="50" xfId="57" applyFont="1" applyBorder="1" applyAlignment="1" quotePrefix="1">
      <alignment vertical="center" wrapText="1"/>
      <protection/>
    </xf>
    <xf numFmtId="0" fontId="40" fillId="0" borderId="51" xfId="57" applyFont="1" applyBorder="1" applyAlignment="1" quotePrefix="1">
      <alignment vertical="center" wrapText="1"/>
      <protection/>
    </xf>
    <xf numFmtId="0" fontId="40" fillId="0" borderId="11" xfId="57" applyFont="1" applyBorder="1" applyAlignment="1">
      <alignment vertical="center"/>
      <protection/>
    </xf>
    <xf numFmtId="0" fontId="40" fillId="0" borderId="52" xfId="57" applyFont="1" applyBorder="1" applyAlignment="1">
      <alignment vertical="center" wrapText="1"/>
      <protection/>
    </xf>
    <xf numFmtId="165" fontId="39" fillId="0" borderId="29" xfId="57" applyNumberFormat="1" applyFont="1" applyBorder="1" applyAlignment="1">
      <alignment vertical="center"/>
      <protection/>
    </xf>
    <xf numFmtId="0" fontId="41" fillId="0" borderId="11" xfId="0" applyFont="1" applyBorder="1" applyAlignment="1">
      <alignment/>
    </xf>
    <xf numFmtId="0" fontId="41" fillId="0" borderId="50" xfId="0" applyFont="1" applyBorder="1" applyAlignment="1">
      <alignment/>
    </xf>
    <xf numFmtId="0" fontId="42" fillId="0" borderId="50" xfId="57" applyFont="1" applyBorder="1" applyAlignment="1">
      <alignment horizontal="left" vertical="center"/>
      <protection/>
    </xf>
    <xf numFmtId="0" fontId="39" fillId="0" borderId="50" xfId="57" applyFont="1" applyBorder="1" applyAlignment="1">
      <alignment horizontal="left" vertical="center" wrapText="1"/>
      <protection/>
    </xf>
    <xf numFmtId="0" fontId="39" fillId="0" borderId="51" xfId="57" applyFont="1" applyBorder="1" applyAlignment="1">
      <alignment horizontal="left" vertical="center" wrapText="1"/>
      <protection/>
    </xf>
    <xf numFmtId="0" fontId="40" fillId="0" borderId="52" xfId="57" applyFont="1" applyBorder="1" applyAlignment="1" quotePrefix="1">
      <alignment horizontal="left" vertical="center" wrapText="1"/>
      <protection/>
    </xf>
    <xf numFmtId="0" fontId="40" fillId="0" borderId="52" xfId="56" applyFont="1" applyFill="1" applyBorder="1" applyAlignment="1">
      <alignment vertical="center" wrapText="1"/>
      <protection/>
    </xf>
    <xf numFmtId="10" fontId="39" fillId="0" borderId="29" xfId="57" applyNumberFormat="1" applyFont="1" applyBorder="1" applyAlignment="1">
      <alignment vertical="center"/>
      <protection/>
    </xf>
    <xf numFmtId="0" fontId="39" fillId="0" borderId="29" xfId="57" applyFont="1" applyBorder="1" applyAlignment="1">
      <alignment horizontal="center" vertical="center" wrapText="1"/>
      <protection/>
    </xf>
    <xf numFmtId="10" fontId="39" fillId="0" borderId="13" xfId="57" applyNumberFormat="1" applyFont="1" applyBorder="1" applyAlignment="1">
      <alignment vertical="center"/>
      <protection/>
    </xf>
    <xf numFmtId="0" fontId="39" fillId="0" borderId="53" xfId="57" applyFont="1" applyBorder="1" applyAlignment="1">
      <alignment vertical="center"/>
      <protection/>
    </xf>
    <xf numFmtId="0" fontId="40" fillId="0" borderId="54" xfId="57" applyFont="1" applyBorder="1" applyAlignment="1">
      <alignment vertical="center" wrapText="1"/>
      <protection/>
    </xf>
    <xf numFmtId="0" fontId="39" fillId="0" borderId="54" xfId="57" applyFont="1" applyBorder="1" applyAlignment="1">
      <alignment vertical="center" wrapText="1"/>
      <protection/>
    </xf>
    <xf numFmtId="0" fontId="41" fillId="0" borderId="54" xfId="0" applyFont="1" applyBorder="1" applyAlignment="1">
      <alignment/>
    </xf>
    <xf numFmtId="0" fontId="40" fillId="0" borderId="54" xfId="57" applyFont="1" applyBorder="1" applyAlignment="1">
      <alignment vertical="center"/>
      <protection/>
    </xf>
    <xf numFmtId="0" fontId="6" fillId="0" borderId="55" xfId="0" applyFont="1" applyBorder="1" applyAlignment="1">
      <alignment/>
    </xf>
    <xf numFmtId="0" fontId="39" fillId="0" borderId="29" xfId="57" applyFont="1" applyBorder="1" applyAlignment="1">
      <alignment horizontal="center" vertical="center"/>
      <protection/>
    </xf>
    <xf numFmtId="0" fontId="1" fillId="0" borderId="55" xfId="57" applyFont="1" applyBorder="1" applyAlignment="1" quotePrefix="1">
      <alignment horizontal="right" vertical="center"/>
      <protection/>
    </xf>
    <xf numFmtId="49" fontId="2" fillId="20" borderId="56" xfId="57" applyNumberFormat="1" applyFont="1" applyFill="1" applyBorder="1" applyAlignment="1">
      <alignment horizontal="right" vertical="center"/>
      <protection/>
    </xf>
    <xf numFmtId="165" fontId="2" fillId="0" borderId="48" xfId="57" applyNumberFormat="1" applyFont="1" applyBorder="1" applyAlignment="1">
      <alignment vertical="center"/>
      <protection/>
    </xf>
    <xf numFmtId="165" fontId="1" fillId="0" borderId="52" xfId="57" applyNumberFormat="1" applyFont="1" applyBorder="1" applyAlignment="1">
      <alignment vertical="center"/>
      <protection/>
    </xf>
    <xf numFmtId="165" fontId="1" fillId="0" borderId="57" xfId="57" applyNumberFormat="1" applyFont="1" applyBorder="1" applyAlignment="1">
      <alignment vertical="center"/>
      <protection/>
    </xf>
    <xf numFmtId="165" fontId="2" fillId="0" borderId="52" xfId="57" applyNumberFormat="1" applyFont="1" applyBorder="1" applyAlignment="1">
      <alignment vertical="center"/>
      <protection/>
    </xf>
    <xf numFmtId="165" fontId="2" fillId="0" borderId="57" xfId="57" applyNumberFormat="1" applyFont="1" applyBorder="1" applyAlignment="1">
      <alignment vertical="center"/>
      <protection/>
    </xf>
    <xf numFmtId="165" fontId="2" fillId="0" borderId="58" xfId="57" applyNumberFormat="1" applyFont="1" applyBorder="1" applyAlignment="1">
      <alignment vertical="center"/>
      <protection/>
    </xf>
    <xf numFmtId="10" fontId="2" fillId="0" borderId="52" xfId="57" applyNumberFormat="1" applyFont="1" applyBorder="1" applyAlignment="1">
      <alignment vertical="center"/>
      <protection/>
    </xf>
    <xf numFmtId="0" fontId="2" fillId="0" borderId="52" xfId="57" applyFont="1" applyBorder="1" applyAlignment="1">
      <alignment horizontal="center" vertical="center" wrapText="1"/>
      <protection/>
    </xf>
    <xf numFmtId="10" fontId="2" fillId="0" borderId="57" xfId="57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39" fillId="0" borderId="59" xfId="57" applyFont="1" applyBorder="1" applyAlignment="1">
      <alignment vertical="center"/>
      <protection/>
    </xf>
    <xf numFmtId="0" fontId="39" fillId="0" borderId="60" xfId="57" applyFont="1" applyBorder="1" applyAlignment="1">
      <alignment vertical="center"/>
      <protection/>
    </xf>
    <xf numFmtId="0" fontId="39" fillId="0" borderId="61" xfId="57" applyFont="1" applyBorder="1" applyAlignment="1">
      <alignment vertical="center" wrapText="1"/>
      <protection/>
    </xf>
    <xf numFmtId="0" fontId="6" fillId="0" borderId="29" xfId="0" applyFont="1" applyBorder="1" applyAlignment="1">
      <alignment/>
    </xf>
    <xf numFmtId="4" fontId="39" fillId="0" borderId="32" xfId="57" applyNumberFormat="1" applyFont="1" applyBorder="1" applyAlignment="1">
      <alignment vertical="center"/>
      <protection/>
    </xf>
    <xf numFmtId="4" fontId="40" fillId="0" borderId="29" xfId="57" applyNumberFormat="1" applyFont="1" applyBorder="1" applyAlignment="1">
      <alignment vertical="center"/>
      <protection/>
    </xf>
    <xf numFmtId="4" fontId="40" fillId="0" borderId="13" xfId="57" applyNumberFormat="1" applyFont="1" applyBorder="1" applyAlignment="1">
      <alignment vertical="center"/>
      <protection/>
    </xf>
    <xf numFmtId="4" fontId="39" fillId="0" borderId="29" xfId="57" applyNumberFormat="1" applyFont="1" applyBorder="1" applyAlignment="1">
      <alignment vertical="center"/>
      <protection/>
    </xf>
    <xf numFmtId="4" fontId="39" fillId="0" borderId="13" xfId="57" applyNumberFormat="1" applyFont="1" applyBorder="1" applyAlignment="1">
      <alignment vertical="center"/>
      <protection/>
    </xf>
    <xf numFmtId="4" fontId="39" fillId="0" borderId="62" xfId="57" applyNumberFormat="1" applyFont="1" applyBorder="1" applyAlignment="1">
      <alignment vertical="center"/>
      <protection/>
    </xf>
    <xf numFmtId="4" fontId="39" fillId="0" borderId="63" xfId="57" applyNumberFormat="1" applyFont="1" applyBorder="1" applyAlignment="1">
      <alignment vertical="center"/>
      <protection/>
    </xf>
    <xf numFmtId="0" fontId="39" fillId="0" borderId="0" xfId="0" applyFont="1" applyAlignment="1">
      <alignment/>
    </xf>
    <xf numFmtId="0" fontId="13" fillId="0" borderId="0" xfId="0" applyFont="1" applyAlignment="1">
      <alignment/>
    </xf>
    <xf numFmtId="4" fontId="6" fillId="0" borderId="0" xfId="0" applyNumberFormat="1" applyFont="1" applyAlignment="1">
      <alignment/>
    </xf>
    <xf numFmtId="165" fontId="40" fillId="0" borderId="64" xfId="57" applyNumberFormat="1" applyFont="1" applyBorder="1" applyAlignment="1">
      <alignment vertical="center"/>
      <protection/>
    </xf>
    <xf numFmtId="165" fontId="40" fillId="0" borderId="61" xfId="57" applyNumberFormat="1" applyFont="1" applyBorder="1" applyAlignment="1">
      <alignment vertical="center"/>
      <protection/>
    </xf>
    <xf numFmtId="49" fontId="43" fillId="26" borderId="15" xfId="57" applyNumberFormat="1" applyFont="1" applyFill="1" applyBorder="1" applyAlignment="1">
      <alignment horizontal="center" vertical="center"/>
      <protection/>
    </xf>
    <xf numFmtId="49" fontId="43" fillId="26" borderId="65" xfId="57" applyNumberFormat="1" applyFont="1" applyFill="1" applyBorder="1" applyAlignment="1">
      <alignment horizontal="left" vertical="center"/>
      <protection/>
    </xf>
    <xf numFmtId="49" fontId="43" fillId="26" borderId="66" xfId="57" applyNumberFormat="1" applyFont="1" applyFill="1" applyBorder="1" applyAlignment="1">
      <alignment horizontal="left" vertical="center" wrapText="1"/>
      <protection/>
    </xf>
    <xf numFmtId="49" fontId="43" fillId="26" borderId="21" xfId="57" applyNumberFormat="1" applyFont="1" applyFill="1" applyBorder="1" applyAlignment="1">
      <alignment horizontal="right" vertical="center"/>
      <protection/>
    </xf>
    <xf numFmtId="49" fontId="43" fillId="26" borderId="22" xfId="57" applyNumberFormat="1" applyFont="1" applyFill="1" applyBorder="1" applyAlignment="1">
      <alignment horizontal="right" vertical="center"/>
      <protection/>
    </xf>
    <xf numFmtId="0" fontId="39" fillId="0" borderId="18" xfId="57" applyFont="1" applyBorder="1" applyAlignment="1">
      <alignment horizontal="center" vertical="center"/>
      <protection/>
    </xf>
    <xf numFmtId="0" fontId="40" fillId="0" borderId="16" xfId="57" applyFont="1" applyBorder="1" applyAlignment="1">
      <alignment horizontal="center" vertical="center"/>
      <protection/>
    </xf>
    <xf numFmtId="4" fontId="39" fillId="0" borderId="40" xfId="57" applyNumberFormat="1" applyFont="1" applyBorder="1" applyAlignment="1">
      <alignment vertical="center"/>
      <protection/>
    </xf>
    <xf numFmtId="0" fontId="40" fillId="0" borderId="19" xfId="57" applyFont="1" applyBorder="1" applyAlignment="1">
      <alignment horizontal="center" vertical="center"/>
      <protection/>
    </xf>
    <xf numFmtId="0" fontId="41" fillId="0" borderId="67" xfId="0" applyFont="1" applyBorder="1" applyAlignment="1">
      <alignment/>
    </xf>
    <xf numFmtId="0" fontId="40" fillId="0" borderId="67" xfId="57" applyFont="1" applyBorder="1" applyAlignment="1">
      <alignment vertical="center"/>
      <protection/>
    </xf>
    <xf numFmtId="0" fontId="40" fillId="0" borderId="68" xfId="57" applyFont="1" applyBorder="1" applyAlignment="1">
      <alignment vertical="center" wrapText="1"/>
      <protection/>
    </xf>
    <xf numFmtId="0" fontId="39" fillId="0" borderId="19" xfId="57" applyFont="1" applyBorder="1" applyAlignment="1">
      <alignment horizontal="center" vertical="center"/>
      <protection/>
    </xf>
    <xf numFmtId="0" fontId="41" fillId="0" borderId="67" xfId="0" applyFont="1" applyBorder="1" applyAlignment="1">
      <alignment/>
    </xf>
    <xf numFmtId="0" fontId="39" fillId="0" borderId="18" xfId="57" applyFont="1" applyBorder="1" applyAlignment="1">
      <alignment horizontal="center" vertical="center"/>
      <protection/>
    </xf>
    <xf numFmtId="0" fontId="39" fillId="0" borderId="47" xfId="57" applyFont="1" applyBorder="1" applyAlignment="1">
      <alignment vertical="center"/>
      <protection/>
    </xf>
    <xf numFmtId="4" fontId="40" fillId="0" borderId="40" xfId="57" applyNumberFormat="1" applyFont="1" applyBorder="1" applyAlignment="1">
      <alignment vertical="center"/>
      <protection/>
    </xf>
    <xf numFmtId="0" fontId="39" fillId="0" borderId="20" xfId="57" applyFont="1" applyBorder="1" applyAlignment="1">
      <alignment horizontal="center" vertical="center"/>
      <protection/>
    </xf>
    <xf numFmtId="4" fontId="39" fillId="0" borderId="39" xfId="57" applyNumberFormat="1" applyFont="1" applyBorder="1" applyAlignment="1">
      <alignment vertical="center"/>
      <protection/>
    </xf>
    <xf numFmtId="0" fontId="39" fillId="0" borderId="16" xfId="57" applyFont="1" applyBorder="1" applyAlignment="1">
      <alignment horizontal="center" vertical="center"/>
      <protection/>
    </xf>
    <xf numFmtId="0" fontId="39" fillId="0" borderId="69" xfId="57" applyFont="1" applyBorder="1" applyAlignment="1">
      <alignment horizontal="center" vertical="center"/>
      <protection/>
    </xf>
    <xf numFmtId="0" fontId="40" fillId="0" borderId="69" xfId="57" applyFont="1" applyBorder="1" applyAlignment="1">
      <alignment horizontal="center" vertical="center"/>
      <protection/>
    </xf>
    <xf numFmtId="0" fontId="39" fillId="0" borderId="20" xfId="57" applyFont="1" applyBorder="1" applyAlignment="1">
      <alignment horizontal="center" vertical="center"/>
      <protection/>
    </xf>
    <xf numFmtId="0" fontId="1" fillId="0" borderId="0" xfId="57" applyFont="1" applyBorder="1" applyAlignment="1" quotePrefix="1">
      <alignment horizontal="right" vertical="center"/>
      <protection/>
    </xf>
    <xf numFmtId="0" fontId="44" fillId="0" borderId="0" xfId="0" applyFont="1" applyAlignment="1">
      <alignment horizontal="right"/>
    </xf>
    <xf numFmtId="171" fontId="39" fillId="0" borderId="42" xfId="57" applyNumberFormat="1" applyFont="1" applyBorder="1" applyAlignment="1">
      <alignment vertical="center"/>
      <protection/>
    </xf>
    <xf numFmtId="171" fontId="39" fillId="0" borderId="40" xfId="57" applyNumberFormat="1" applyFont="1" applyBorder="1" applyAlignment="1">
      <alignment vertical="center"/>
      <protection/>
    </xf>
    <xf numFmtId="171" fontId="39" fillId="0" borderId="14" xfId="57" applyNumberFormat="1" applyFont="1" applyBorder="1" applyAlignment="1">
      <alignment vertical="center"/>
      <protection/>
    </xf>
    <xf numFmtId="171" fontId="39" fillId="0" borderId="39" xfId="57" applyNumberFormat="1" applyFont="1" applyBorder="1" applyAlignment="1">
      <alignment vertical="center"/>
      <protection/>
    </xf>
    <xf numFmtId="171" fontId="40" fillId="0" borderId="40" xfId="57" applyNumberFormat="1" applyFont="1" applyBorder="1" applyAlignment="1">
      <alignment vertical="center"/>
      <protection/>
    </xf>
    <xf numFmtId="171" fontId="39" fillId="0" borderId="70" xfId="57" applyNumberFormat="1" applyFont="1" applyBorder="1" applyAlignment="1">
      <alignment vertical="center"/>
      <protection/>
    </xf>
    <xf numFmtId="171" fontId="40" fillId="0" borderId="70" xfId="57" applyNumberFormat="1" applyFont="1" applyBorder="1" applyAlignment="1">
      <alignment vertical="center"/>
      <protection/>
    </xf>
    <xf numFmtId="166" fontId="39" fillId="0" borderId="71" xfId="57" applyNumberFormat="1" applyFont="1" applyBorder="1" applyAlignment="1">
      <alignment vertical="center"/>
      <protection/>
    </xf>
    <xf numFmtId="166" fontId="40" fillId="0" borderId="72" xfId="57" applyNumberFormat="1" applyFont="1" applyBorder="1" applyAlignment="1">
      <alignment vertical="center"/>
      <protection/>
    </xf>
    <xf numFmtId="166" fontId="40" fillId="0" borderId="73" xfId="57" applyNumberFormat="1" applyFont="1" applyBorder="1" applyAlignment="1">
      <alignment vertical="center"/>
      <protection/>
    </xf>
    <xf numFmtId="166" fontId="39" fillId="0" borderId="62" xfId="57" applyNumberFormat="1" applyFont="1" applyBorder="1" applyAlignment="1">
      <alignment vertical="center"/>
      <protection/>
    </xf>
    <xf numFmtId="166" fontId="39" fillId="0" borderId="29" xfId="57" applyNumberFormat="1" applyFont="1" applyBorder="1" applyAlignment="1">
      <alignment vertical="center"/>
      <protection/>
    </xf>
    <xf numFmtId="166" fontId="40" fillId="0" borderId="29" xfId="57" applyNumberFormat="1" applyFont="1" applyBorder="1" applyAlignment="1">
      <alignment vertical="center"/>
      <protection/>
    </xf>
    <xf numFmtId="166" fontId="39" fillId="0" borderId="63" xfId="57" applyNumberFormat="1" applyFont="1" applyBorder="1" applyAlignment="1">
      <alignment vertical="center"/>
      <protection/>
    </xf>
    <xf numFmtId="166" fontId="39" fillId="0" borderId="32" xfId="57" applyNumberFormat="1" applyFont="1" applyBorder="1" applyAlignment="1">
      <alignment vertical="center"/>
      <protection/>
    </xf>
    <xf numFmtId="166" fontId="39" fillId="0" borderId="13" xfId="57" applyNumberFormat="1" applyFont="1" applyBorder="1" applyAlignment="1">
      <alignment vertical="center"/>
      <protection/>
    </xf>
    <xf numFmtId="10" fontId="45" fillId="0" borderId="29" xfId="57" applyNumberFormat="1" applyFont="1" applyBorder="1" applyAlignment="1">
      <alignment vertical="center"/>
      <protection/>
    </xf>
    <xf numFmtId="4" fontId="45" fillId="0" borderId="40" xfId="57" applyNumberFormat="1" applyFont="1" applyBorder="1" applyAlignment="1">
      <alignment vertical="center"/>
      <protection/>
    </xf>
    <xf numFmtId="4" fontId="45" fillId="0" borderId="29" xfId="57" applyNumberFormat="1" applyFont="1" applyBorder="1" applyAlignment="1">
      <alignment horizontal="center" vertical="center" wrapText="1"/>
      <protection/>
    </xf>
    <xf numFmtId="4" fontId="45" fillId="0" borderId="40" xfId="57" applyNumberFormat="1" applyFont="1" applyBorder="1" applyAlignment="1">
      <alignment horizontal="center" vertical="center" wrapText="1"/>
      <protection/>
    </xf>
    <xf numFmtId="10" fontId="45" fillId="0" borderId="13" xfId="57" applyNumberFormat="1" applyFont="1" applyBorder="1" applyAlignment="1">
      <alignment vertical="center"/>
      <protection/>
    </xf>
    <xf numFmtId="4" fontId="45" fillId="0" borderId="14" xfId="57" applyNumberFormat="1" applyFont="1" applyBorder="1" applyAlignment="1">
      <alignment vertical="center"/>
      <protection/>
    </xf>
    <xf numFmtId="0" fontId="1" fillId="0" borderId="13" xfId="56" applyFont="1" applyFill="1" applyBorder="1" applyAlignment="1">
      <alignment horizontal="left" vertical="center" wrapText="1"/>
      <protection/>
    </xf>
    <xf numFmtId="0" fontId="1" fillId="0" borderId="14" xfId="56" applyFont="1" applyFill="1" applyBorder="1" applyAlignment="1">
      <alignment horizontal="left" vertical="center" wrapText="1"/>
      <protection/>
    </xf>
    <xf numFmtId="0" fontId="2" fillId="0" borderId="29" xfId="56" applyFont="1" applyFill="1" applyBorder="1" applyAlignment="1">
      <alignment horizontal="left" vertical="center" wrapText="1"/>
      <protection/>
    </xf>
    <xf numFmtId="0" fontId="1" fillId="0" borderId="29" xfId="56" applyFont="1" applyFill="1" applyBorder="1" applyAlignment="1">
      <alignment horizontal="left" vertical="center" wrapText="1"/>
      <protection/>
    </xf>
    <xf numFmtId="0" fontId="1" fillId="0" borderId="40" xfId="56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center" vertical="top"/>
    </xf>
    <xf numFmtId="0" fontId="9" fillId="0" borderId="32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40" xfId="56" applyFont="1" applyFill="1" applyBorder="1" applyAlignment="1">
      <alignment horizontal="left" vertical="center" wrapText="1"/>
      <protection/>
    </xf>
    <xf numFmtId="0" fontId="2" fillId="0" borderId="34" xfId="0" applyFont="1" applyBorder="1" applyAlignment="1">
      <alignment horizontal="left" vertical="top" wrapText="1"/>
    </xf>
    <xf numFmtId="0" fontId="13" fillId="21" borderId="23" xfId="0" applyFont="1" applyFill="1" applyBorder="1" applyAlignment="1">
      <alignment horizontal="center" vertical="center"/>
    </xf>
    <xf numFmtId="0" fontId="13" fillId="21" borderId="74" xfId="0" applyFont="1" applyFill="1" applyBorder="1" applyAlignment="1">
      <alignment horizontal="center" vertical="center"/>
    </xf>
    <xf numFmtId="0" fontId="13" fillId="21" borderId="7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top"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1" xfId="56" applyFont="1" applyFill="1" applyBorder="1" applyAlignment="1">
      <alignment horizontal="left" vertical="center" wrapText="1"/>
      <protection/>
    </xf>
    <xf numFmtId="0" fontId="7" fillId="0" borderId="12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vertical="center" wrapText="1"/>
      <protection/>
    </xf>
    <xf numFmtId="0" fontId="2" fillId="0" borderId="11" xfId="56" applyFont="1" applyFill="1" applyBorder="1" applyAlignment="1">
      <alignment vertical="center" wrapText="1"/>
      <protection/>
    </xf>
    <xf numFmtId="0" fontId="2" fillId="0" borderId="12" xfId="56" applyFont="1" applyFill="1" applyBorder="1" applyAlignment="1">
      <alignment vertical="center" wrapText="1"/>
      <protection/>
    </xf>
    <xf numFmtId="0" fontId="7" fillId="0" borderId="29" xfId="56" applyFont="1" applyFill="1" applyBorder="1" applyAlignment="1">
      <alignment horizontal="left" vertical="center" wrapText="1"/>
      <protection/>
    </xf>
    <xf numFmtId="0" fontId="7" fillId="0" borderId="40" xfId="56" applyFont="1" applyFill="1" applyBorder="1" applyAlignment="1">
      <alignment horizontal="left" vertical="center" wrapText="1"/>
      <protection/>
    </xf>
    <xf numFmtId="0" fontId="1" fillId="0" borderId="11" xfId="56" applyFont="1" applyFill="1" applyBorder="1" applyAlignment="1" quotePrefix="1">
      <alignment horizontal="left" vertical="center" wrapText="1"/>
      <protection/>
    </xf>
    <xf numFmtId="0" fontId="1" fillId="0" borderId="12" xfId="56" applyFont="1" applyFill="1" applyBorder="1" applyAlignment="1" quotePrefix="1">
      <alignment horizontal="left" vertical="center" wrapText="1"/>
      <protection/>
    </xf>
    <xf numFmtId="0" fontId="2" fillId="0" borderId="35" xfId="56" applyFont="1" applyFill="1" applyBorder="1" applyAlignment="1">
      <alignment horizontal="left" vertical="center" wrapText="1"/>
      <protection/>
    </xf>
    <xf numFmtId="0" fontId="2" fillId="0" borderId="50" xfId="56" applyFont="1" applyFill="1" applyBorder="1" applyAlignment="1">
      <alignment horizontal="left" vertical="center" wrapText="1"/>
      <protection/>
    </xf>
    <xf numFmtId="0" fontId="2" fillId="0" borderId="76" xfId="56" applyFont="1" applyFill="1" applyBorder="1" applyAlignment="1">
      <alignment horizontal="left" vertical="center" wrapText="1"/>
      <protection/>
    </xf>
    <xf numFmtId="0" fontId="7" fillId="0" borderId="31" xfId="56" applyFont="1" applyFill="1" applyBorder="1" applyAlignment="1">
      <alignment horizontal="left" vertical="center" wrapText="1"/>
      <protection/>
    </xf>
    <xf numFmtId="0" fontId="7" fillId="0" borderId="77" xfId="56" applyFont="1" applyFill="1" applyBorder="1" applyAlignment="1">
      <alignment horizontal="left" vertical="center" wrapText="1"/>
      <protection/>
    </xf>
    <xf numFmtId="0" fontId="7" fillId="0" borderId="78" xfId="56" applyFont="1" applyFill="1" applyBorder="1" applyAlignment="1">
      <alignment horizontal="left" vertical="center" wrapText="1"/>
      <protection/>
    </xf>
    <xf numFmtId="0" fontId="1" fillId="0" borderId="11" xfId="56" applyFont="1" applyFill="1" applyBorder="1" applyAlignment="1">
      <alignment horizontal="left" vertical="center" wrapText="1"/>
      <protection/>
    </xf>
    <xf numFmtId="0" fontId="1" fillId="0" borderId="12" xfId="56" applyFont="1" applyFill="1" applyBorder="1" applyAlignment="1">
      <alignment horizontal="left" vertical="center" wrapText="1"/>
      <protection/>
    </xf>
    <xf numFmtId="0" fontId="2" fillId="0" borderId="33" xfId="56" applyFont="1" applyFill="1" applyBorder="1" applyAlignment="1">
      <alignment horizontal="left" vertical="center" wrapText="1"/>
      <protection/>
    </xf>
    <xf numFmtId="0" fontId="2" fillId="0" borderId="49" xfId="56" applyFont="1" applyFill="1" applyBorder="1" applyAlignment="1">
      <alignment horizontal="left" vertical="center" wrapText="1"/>
      <protection/>
    </xf>
    <xf numFmtId="0" fontId="2" fillId="0" borderId="79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1" fillId="0" borderId="29" xfId="56" applyFont="1" applyFill="1" applyBorder="1" applyAlignment="1">
      <alignment horizontal="left" vertical="center" wrapText="1"/>
      <protection/>
    </xf>
    <xf numFmtId="0" fontId="11" fillId="0" borderId="40" xfId="56" applyFont="1" applyFill="1" applyBorder="1" applyAlignment="1">
      <alignment horizontal="left" vertical="center" wrapText="1"/>
      <protection/>
    </xf>
    <xf numFmtId="0" fontId="1" fillId="0" borderId="80" xfId="56" applyFont="1" applyFill="1" applyBorder="1" applyAlignment="1">
      <alignment horizontal="left" vertical="center" wrapText="1"/>
      <protection/>
    </xf>
    <xf numFmtId="0" fontId="1" fillId="0" borderId="81" xfId="56" applyFont="1" applyFill="1" applyBorder="1" applyAlignment="1">
      <alignment horizontal="left" vertical="center" wrapText="1"/>
      <protection/>
    </xf>
    <xf numFmtId="0" fontId="1" fillId="0" borderId="82" xfId="56" applyFont="1" applyFill="1" applyBorder="1" applyAlignment="1">
      <alignment horizontal="left" vertical="center" wrapText="1"/>
      <protection/>
    </xf>
    <xf numFmtId="0" fontId="1" fillId="0" borderId="11" xfId="56" applyFont="1" applyFill="1" applyBorder="1" applyAlignment="1">
      <alignment vertical="center" wrapText="1"/>
      <protection/>
    </xf>
    <xf numFmtId="0" fontId="1" fillId="0" borderId="12" xfId="56" applyFont="1" applyFill="1" applyBorder="1" applyAlignment="1">
      <alignment vertical="center" wrapText="1"/>
      <protection/>
    </xf>
    <xf numFmtId="0" fontId="2" fillId="0" borderId="0" xfId="0" applyFont="1" applyBorder="1" applyAlignment="1">
      <alignment horizontal="left" vertical="center"/>
    </xf>
    <xf numFmtId="49" fontId="2" fillId="0" borderId="36" xfId="56" applyNumberFormat="1" applyFont="1" applyFill="1" applyBorder="1" applyAlignment="1">
      <alignment horizontal="center" vertical="center" wrapText="1"/>
      <protection/>
    </xf>
    <xf numFmtId="49" fontId="2" fillId="0" borderId="74" xfId="56" applyNumberFormat="1" applyFont="1" applyFill="1" applyBorder="1" applyAlignment="1">
      <alignment horizontal="center" vertical="center" wrapText="1"/>
      <protection/>
    </xf>
    <xf numFmtId="49" fontId="2" fillId="0" borderId="75" xfId="56" applyNumberFormat="1" applyFont="1" applyFill="1" applyBorder="1" applyAlignment="1">
      <alignment horizontal="center" vertical="center" wrapText="1"/>
      <protection/>
    </xf>
    <xf numFmtId="0" fontId="2" fillId="0" borderId="83" xfId="56" applyFont="1" applyFill="1" applyBorder="1" applyAlignment="1">
      <alignment horizontal="left" vertical="center" wrapText="1"/>
      <protection/>
    </xf>
    <xf numFmtId="0" fontId="2" fillId="0" borderId="64" xfId="56" applyFont="1" applyFill="1" applyBorder="1" applyAlignment="1">
      <alignment horizontal="left" vertical="center" wrapText="1"/>
      <protection/>
    </xf>
    <xf numFmtId="0" fontId="2" fillId="0" borderId="84" xfId="56" applyFont="1" applyFill="1" applyBorder="1" applyAlignment="1">
      <alignment horizontal="left" vertical="center" wrapText="1"/>
      <protection/>
    </xf>
    <xf numFmtId="0" fontId="39" fillId="0" borderId="64" xfId="57" applyFont="1" applyBorder="1" applyAlignment="1">
      <alignment horizontal="left" vertical="center"/>
      <protection/>
    </xf>
    <xf numFmtId="0" fontId="40" fillId="0" borderId="11" xfId="57" applyFont="1" applyBorder="1" applyAlignment="1">
      <alignment horizontal="left" vertical="center" wrapText="1"/>
      <protection/>
    </xf>
    <xf numFmtId="0" fontId="40" fillId="0" borderId="52" xfId="57" applyFont="1" applyBorder="1" applyAlignment="1">
      <alignment horizontal="left" vertical="center" wrapText="1"/>
      <protection/>
    </xf>
    <xf numFmtId="0" fontId="39" fillId="0" borderId="25" xfId="57" applyFont="1" applyBorder="1" applyAlignment="1">
      <alignment horizontal="left" vertical="center" wrapText="1"/>
      <protection/>
    </xf>
    <xf numFmtId="0" fontId="39" fillId="0" borderId="11" xfId="57" applyFont="1" applyBorder="1" applyAlignment="1">
      <alignment horizontal="left" vertical="center" wrapText="1"/>
      <protection/>
    </xf>
    <xf numFmtId="0" fontId="39" fillId="0" borderId="52" xfId="57" applyFont="1" applyBorder="1" applyAlignment="1">
      <alignment horizontal="left" vertical="center" wrapText="1"/>
      <protection/>
    </xf>
    <xf numFmtId="0" fontId="39" fillId="0" borderId="85" xfId="57" applyFont="1" applyBorder="1" applyAlignment="1">
      <alignment horizontal="left" vertical="center" wrapText="1"/>
      <protection/>
    </xf>
    <xf numFmtId="0" fontId="39" fillId="0" borderId="50" xfId="57" applyFont="1" applyBorder="1" applyAlignment="1">
      <alignment horizontal="left" vertical="center" wrapText="1"/>
      <protection/>
    </xf>
    <xf numFmtId="0" fontId="39" fillId="0" borderId="57" xfId="57" applyFont="1" applyBorder="1" applyAlignment="1">
      <alignment horizontal="left" vertical="center" wrapText="1"/>
      <protection/>
    </xf>
    <xf numFmtId="0" fontId="40" fillId="0" borderId="50" xfId="57" applyFont="1" applyBorder="1" applyAlignment="1">
      <alignment vertical="center" wrapText="1"/>
      <protection/>
    </xf>
    <xf numFmtId="0" fontId="0" fillId="0" borderId="57" xfId="0" applyBorder="1" applyAlignment="1">
      <alignment vertical="center" wrapText="1"/>
    </xf>
    <xf numFmtId="0" fontId="40" fillId="0" borderId="86" xfId="57" applyFont="1" applyBorder="1" applyAlignment="1">
      <alignment vertical="center" wrapText="1"/>
      <protection/>
    </xf>
    <xf numFmtId="0" fontId="0" fillId="0" borderId="52" xfId="0" applyBorder="1" applyAlignment="1">
      <alignment vertical="center" wrapText="1"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24" borderId="33" xfId="56" applyFont="1" applyFill="1" applyBorder="1" applyAlignment="1">
      <alignment horizontal="left" vertical="center" wrapText="1"/>
      <protection/>
    </xf>
    <xf numFmtId="0" fontId="2" fillId="24" borderId="49" xfId="56" applyFont="1" applyFill="1" applyBorder="1" applyAlignment="1">
      <alignment horizontal="left" vertical="center" wrapText="1"/>
      <protection/>
    </xf>
    <xf numFmtId="0" fontId="2" fillId="24" borderId="79" xfId="56" applyFont="1" applyFill="1" applyBorder="1" applyAlignment="1">
      <alignment horizontal="left"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0" fontId="2" fillId="24" borderId="11" xfId="56" applyFont="1" applyFill="1" applyBorder="1" applyAlignment="1">
      <alignment vertical="center" wrapText="1"/>
      <protection/>
    </xf>
    <xf numFmtId="0" fontId="2" fillId="24" borderId="12" xfId="56" applyFont="1" applyFill="1" applyBorder="1" applyAlignment="1">
      <alignment vertical="center" wrapText="1"/>
      <protection/>
    </xf>
    <xf numFmtId="0" fontId="1" fillId="24" borderId="11" xfId="56" applyFont="1" applyFill="1" applyBorder="1" applyAlignment="1">
      <alignment vertical="center" wrapText="1"/>
      <protection/>
    </xf>
    <xf numFmtId="0" fontId="1" fillId="24" borderId="12" xfId="56" applyFont="1" applyFill="1" applyBorder="1" applyAlignment="1">
      <alignment vertical="center" wrapText="1"/>
      <protection/>
    </xf>
    <xf numFmtId="0" fontId="1" fillId="0" borderId="11" xfId="56" applyFont="1" applyBorder="1" applyAlignment="1">
      <alignment horizontal="left" vertical="center" wrapText="1"/>
      <protection/>
    </xf>
    <xf numFmtId="0" fontId="1" fillId="0" borderId="12" xfId="56" applyFont="1" applyBorder="1" applyAlignment="1">
      <alignment horizontal="left" vertical="center" wrapText="1"/>
      <protection/>
    </xf>
    <xf numFmtId="0" fontId="7" fillId="6" borderId="10" xfId="56" applyFont="1" applyFill="1" applyBorder="1" applyAlignment="1">
      <alignment horizontal="left" vertical="center" wrapText="1"/>
      <protection/>
    </xf>
    <xf numFmtId="0" fontId="7" fillId="6" borderId="11" xfId="56" applyFont="1" applyFill="1" applyBorder="1" applyAlignment="1">
      <alignment horizontal="left" vertical="center" wrapText="1"/>
      <protection/>
    </xf>
    <xf numFmtId="0" fontId="7" fillId="6" borderId="12" xfId="56" applyFont="1" applyFill="1" applyBorder="1" applyAlignment="1">
      <alignment horizontal="left"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1" fillId="24" borderId="11" xfId="56" applyFont="1" applyFill="1" applyBorder="1" applyAlignment="1" quotePrefix="1">
      <alignment horizontal="left" vertical="center" wrapText="1"/>
      <protection/>
    </xf>
    <xf numFmtId="0" fontId="1" fillId="24" borderId="12" xfId="56" applyFont="1" applyFill="1" applyBorder="1" applyAlignment="1" quotePrefix="1">
      <alignment horizontal="left" vertical="center" wrapText="1"/>
      <protection/>
    </xf>
    <xf numFmtId="0" fontId="7" fillId="6" borderId="31" xfId="56" applyFont="1" applyFill="1" applyBorder="1" applyAlignment="1">
      <alignment horizontal="left" vertical="center" wrapText="1"/>
      <protection/>
    </xf>
    <xf numFmtId="0" fontId="7" fillId="6" borderId="77" xfId="56" applyFont="1" applyFill="1" applyBorder="1" applyAlignment="1">
      <alignment horizontal="left" vertical="center" wrapText="1"/>
      <protection/>
    </xf>
    <xf numFmtId="0" fontId="7" fillId="6" borderId="78" xfId="56" applyFont="1" applyFill="1" applyBorder="1" applyAlignment="1">
      <alignment horizontal="left" vertical="center" wrapText="1"/>
      <protection/>
    </xf>
    <xf numFmtId="49" fontId="2" fillId="20" borderId="36" xfId="56" applyNumberFormat="1" applyFont="1" applyFill="1" applyBorder="1" applyAlignment="1">
      <alignment horizontal="center" vertical="center" wrapText="1"/>
      <protection/>
    </xf>
    <xf numFmtId="49" fontId="2" fillId="20" borderId="74" xfId="56" applyNumberFormat="1" applyFont="1" applyFill="1" applyBorder="1" applyAlignment="1">
      <alignment horizontal="center" vertical="center" wrapText="1"/>
      <protection/>
    </xf>
    <xf numFmtId="49" fontId="2" fillId="20" borderId="75" xfId="56" applyNumberFormat="1" applyFont="1" applyFill="1" applyBorder="1" applyAlignment="1">
      <alignment horizontal="center" vertical="center" wrapText="1"/>
      <protection/>
    </xf>
    <xf numFmtId="0" fontId="2" fillId="20" borderId="83" xfId="56" applyFont="1" applyFill="1" applyBorder="1" applyAlignment="1">
      <alignment horizontal="left" vertical="center" wrapText="1"/>
      <protection/>
    </xf>
    <xf numFmtId="0" fontId="2" fillId="20" borderId="64" xfId="56" applyFont="1" applyFill="1" applyBorder="1" applyAlignment="1">
      <alignment horizontal="left" vertical="center" wrapText="1"/>
      <protection/>
    </xf>
    <xf numFmtId="0" fontId="2" fillId="20" borderId="84" xfId="56" applyFont="1" applyFill="1" applyBorder="1" applyAlignment="1">
      <alignment horizontal="left" vertical="center" wrapText="1"/>
      <protection/>
    </xf>
    <xf numFmtId="0" fontId="1" fillId="24" borderId="11" xfId="56" applyFont="1" applyFill="1" applyBorder="1" applyAlignment="1">
      <alignment horizontal="left" vertical="center" wrapText="1"/>
      <protection/>
    </xf>
    <xf numFmtId="0" fontId="1" fillId="24" borderId="12" xfId="56" applyFont="1" applyFill="1" applyBorder="1" applyAlignment="1">
      <alignment horizontal="left" vertical="center" wrapText="1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6" borderId="11" xfId="56" applyFont="1" applyFill="1" applyBorder="1" applyAlignment="1">
      <alignment vertical="center" wrapText="1"/>
      <protection/>
    </xf>
    <xf numFmtId="0" fontId="2" fillId="6" borderId="12" xfId="56" applyFont="1" applyFill="1" applyBorder="1" applyAlignment="1">
      <alignment vertical="center" wrapText="1"/>
      <protection/>
    </xf>
    <xf numFmtId="0" fontId="1" fillId="0" borderId="11" xfId="56" applyFont="1" applyBorder="1" applyAlignment="1" quotePrefix="1">
      <alignment horizontal="left" vertical="center" wrapText="1"/>
      <protection/>
    </xf>
    <xf numFmtId="0" fontId="1" fillId="0" borderId="12" xfId="56" applyFont="1" applyBorder="1" applyAlignment="1" quotePrefix="1">
      <alignment horizontal="lef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2">
    <dxf>
      <font>
        <b/>
        <i/>
        <color auto="1"/>
      </font>
      <fill>
        <patternFill>
          <bgColor indexed="51"/>
        </patternFill>
      </fill>
    </dxf>
    <dxf>
      <font>
        <b/>
        <i/>
        <color auto="1"/>
      </font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R66"/>
  <sheetViews>
    <sheetView zoomScalePageLayoutView="0" workbookViewId="0" topLeftCell="A1">
      <pane xSplit="4" ySplit="5" topLeftCell="E6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F7" sqref="F7"/>
    </sheetView>
  </sheetViews>
  <sheetFormatPr defaultColWidth="8.796875" defaultRowHeight="14.25"/>
  <cols>
    <col min="1" max="1" width="3.59765625" style="1" bestFit="1" customWidth="1"/>
    <col min="2" max="2" width="3.09765625" style="1" customWidth="1"/>
    <col min="3" max="3" width="5.8984375" style="1" customWidth="1"/>
    <col min="4" max="4" width="53" style="1" customWidth="1"/>
    <col min="5" max="5" width="13.59765625" style="1" hidden="1" customWidth="1"/>
    <col min="6" max="12" width="13.59765625" style="1" customWidth="1"/>
    <col min="13" max="34" width="13.5" style="1" customWidth="1"/>
    <col min="35" max="16384" width="9" style="5" customWidth="1"/>
  </cols>
  <sheetData>
    <row r="1" spans="3:12" ht="12">
      <c r="C1" s="45" t="s">
        <v>110</v>
      </c>
      <c r="D1" s="27" t="str">
        <f>+DaneZrodlowe!B4</f>
        <v>2</v>
      </c>
      <c r="E1" s="33" t="str">
        <f>D2&amp;" - "&amp;"WPF za lata "&amp;D3&amp;" - Nr Uchwały JST: "&amp;D1</f>
        <v>(1421042) - MICHAŁOWICE - WPF za lata 2011-2020 - Nr Uchwały JST: 2</v>
      </c>
      <c r="H1" s="113" t="s">
        <v>165</v>
      </c>
      <c r="J1" s="51"/>
      <c r="K1" s="51"/>
      <c r="L1" s="51"/>
    </row>
    <row r="2" spans="1:12" ht="12">
      <c r="A2" s="34"/>
      <c r="B2" s="27"/>
      <c r="C2" s="30" t="s">
        <v>108</v>
      </c>
      <c r="D2" s="31" t="str">
        <f>+"("&amp;DaneZrodlowe!D4&amp;") - "&amp;DaneZrodlowe!C4</f>
        <v>(1421042) - MICHAŁOWICE</v>
      </c>
      <c r="E2" s="27"/>
      <c r="F2" s="27"/>
      <c r="G2" s="27"/>
      <c r="H2" s="113" t="s">
        <v>162</v>
      </c>
      <c r="I2" s="27"/>
      <c r="J2" s="27"/>
      <c r="K2" s="27"/>
      <c r="L2" s="27"/>
    </row>
    <row r="3" spans="1:5" ht="12.75" thickBot="1">
      <c r="A3" s="28"/>
      <c r="B3" s="28"/>
      <c r="C3" s="29" t="s">
        <v>109</v>
      </c>
      <c r="D3" s="32" t="str">
        <f>+"2011-"&amp;MAX(DaneZrodlowe!L:L)</f>
        <v>2011-2020</v>
      </c>
      <c r="E3" s="33" t="s">
        <v>156</v>
      </c>
    </row>
    <row r="4" spans="1:34" ht="12.75" thickBot="1">
      <c r="A4" s="349"/>
      <c r="B4" s="349"/>
      <c r="C4" s="349"/>
      <c r="D4" s="349"/>
      <c r="E4" s="314" t="s">
        <v>90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6"/>
    </row>
    <row r="5" spans="1:252" s="150" customFormat="1" ht="12.75" thickBot="1">
      <c r="A5" s="145" t="s">
        <v>0</v>
      </c>
      <c r="B5" s="350" t="s">
        <v>1</v>
      </c>
      <c r="C5" s="351"/>
      <c r="D5" s="352"/>
      <c r="E5" s="146">
        <v>2011</v>
      </c>
      <c r="F5" s="147">
        <v>2012</v>
      </c>
      <c r="G5" s="147">
        <v>2013</v>
      </c>
      <c r="H5" s="147">
        <v>2014</v>
      </c>
      <c r="I5" s="147">
        <v>2015</v>
      </c>
      <c r="J5" s="147">
        <v>2016</v>
      </c>
      <c r="K5" s="147">
        <v>2017</v>
      </c>
      <c r="L5" s="147">
        <v>2018</v>
      </c>
      <c r="M5" s="147">
        <v>2019</v>
      </c>
      <c r="N5" s="148">
        <v>2020</v>
      </c>
      <c r="O5" s="149">
        <v>2021</v>
      </c>
      <c r="P5" s="147">
        <v>2022</v>
      </c>
      <c r="Q5" s="147">
        <v>2023</v>
      </c>
      <c r="R5" s="147">
        <v>2024</v>
      </c>
      <c r="S5" s="147">
        <v>2025</v>
      </c>
      <c r="T5" s="147">
        <v>2026</v>
      </c>
      <c r="U5" s="147">
        <v>2027</v>
      </c>
      <c r="V5" s="147">
        <v>2028</v>
      </c>
      <c r="W5" s="147">
        <v>2029</v>
      </c>
      <c r="X5" s="147">
        <v>2030</v>
      </c>
      <c r="Y5" s="147">
        <v>2031</v>
      </c>
      <c r="Z5" s="147">
        <v>2032</v>
      </c>
      <c r="AA5" s="147">
        <v>2033</v>
      </c>
      <c r="AB5" s="147">
        <v>2034</v>
      </c>
      <c r="AC5" s="147">
        <v>2035</v>
      </c>
      <c r="AD5" s="147">
        <v>2036</v>
      </c>
      <c r="AE5" s="147">
        <v>2037</v>
      </c>
      <c r="AF5" s="147">
        <v>2038</v>
      </c>
      <c r="AG5" s="147">
        <v>2039</v>
      </c>
      <c r="AH5" s="148" t="s">
        <v>91</v>
      </c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</row>
    <row r="6" spans="1:34" s="108" customFormat="1" ht="12">
      <c r="A6" s="151">
        <v>1</v>
      </c>
      <c r="B6" s="353" t="s">
        <v>68</v>
      </c>
      <c r="C6" s="354"/>
      <c r="D6" s="355"/>
      <c r="E6" s="117">
        <f>78881523.79+16634.43</f>
        <v>78898158.22000001</v>
      </c>
      <c r="F6" s="118">
        <v>80941057.56</v>
      </c>
      <c r="G6" s="118">
        <f>81235289</f>
        <v>81235289</v>
      </c>
      <c r="H6" s="118">
        <f>86042639</f>
        <v>86042639</v>
      </c>
      <c r="I6" s="118">
        <f>91523349</f>
        <v>91523349</v>
      </c>
      <c r="J6" s="118">
        <f>95494112</f>
        <v>95494112</v>
      </c>
      <c r="K6" s="118">
        <f>100566656</f>
        <v>100566656</v>
      </c>
      <c r="L6" s="118">
        <f>106598109</f>
        <v>106598109</v>
      </c>
      <c r="M6" s="118">
        <f>113061489</f>
        <v>113061489</v>
      </c>
      <c r="N6" s="119">
        <f>116815684</f>
        <v>116815684</v>
      </c>
      <c r="O6" s="119">
        <f>0</f>
        <v>0</v>
      </c>
      <c r="P6" s="119">
        <f>0</f>
        <v>0</v>
      </c>
      <c r="Q6" s="119">
        <f>0</f>
        <v>0</v>
      </c>
      <c r="R6" s="119">
        <f>0</f>
        <v>0</v>
      </c>
      <c r="S6" s="119">
        <f>0</f>
        <v>0</v>
      </c>
      <c r="T6" s="119">
        <f>0</f>
        <v>0</v>
      </c>
      <c r="U6" s="119">
        <f>0</f>
        <v>0</v>
      </c>
      <c r="V6" s="120">
        <f>0</f>
        <v>0</v>
      </c>
      <c r="W6" s="120">
        <f>0</f>
        <v>0</v>
      </c>
      <c r="X6" s="120">
        <f>0</f>
        <v>0</v>
      </c>
      <c r="Y6" s="120">
        <f>0</f>
        <v>0</v>
      </c>
      <c r="Z6" s="120">
        <f>0</f>
        <v>0</v>
      </c>
      <c r="AA6" s="120">
        <f>0</f>
        <v>0</v>
      </c>
      <c r="AB6" s="120">
        <f>0</f>
        <v>0</v>
      </c>
      <c r="AC6" s="120">
        <f>0</f>
        <v>0</v>
      </c>
      <c r="AD6" s="120">
        <f>0</f>
        <v>0</v>
      </c>
      <c r="AE6" s="120">
        <f>0</f>
        <v>0</v>
      </c>
      <c r="AF6" s="120">
        <f>0</f>
        <v>0</v>
      </c>
      <c r="AG6" s="120">
        <f>0</f>
        <v>0</v>
      </c>
      <c r="AH6" s="120">
        <f>0</f>
        <v>0</v>
      </c>
    </row>
    <row r="7" spans="1:34" s="108" customFormat="1" ht="12">
      <c r="A7" s="152" t="s">
        <v>2</v>
      </c>
      <c r="B7" s="153"/>
      <c r="C7" s="334" t="s">
        <v>3</v>
      </c>
      <c r="D7" s="335"/>
      <c r="E7" s="117">
        <f>71410923.79+16634.43</f>
        <v>71427558.22000001</v>
      </c>
      <c r="F7" s="121">
        <f>80921057.56</f>
        <v>80921057.56</v>
      </c>
      <c r="G7" s="121">
        <f>81235289</f>
        <v>81235289</v>
      </c>
      <c r="H7" s="121">
        <f>86042639</f>
        <v>86042639</v>
      </c>
      <c r="I7" s="121">
        <f>91523349</f>
        <v>91523349</v>
      </c>
      <c r="J7" s="121">
        <f>95494112</f>
        <v>95494112</v>
      </c>
      <c r="K7" s="121">
        <f>100566656</f>
        <v>100566656</v>
      </c>
      <c r="L7" s="121">
        <f>106598109</f>
        <v>106598109</v>
      </c>
      <c r="M7" s="121">
        <f>113061489</f>
        <v>113061489</v>
      </c>
      <c r="N7" s="122">
        <f>116815684</f>
        <v>116815684</v>
      </c>
      <c r="O7" s="122">
        <f>0</f>
        <v>0</v>
      </c>
      <c r="P7" s="122">
        <f>0</f>
        <v>0</v>
      </c>
      <c r="Q7" s="122">
        <f>0</f>
        <v>0</v>
      </c>
      <c r="R7" s="122">
        <f>0</f>
        <v>0</v>
      </c>
      <c r="S7" s="122">
        <f>0</f>
        <v>0</v>
      </c>
      <c r="T7" s="122">
        <f>0</f>
        <v>0</v>
      </c>
      <c r="U7" s="122">
        <f>0</f>
        <v>0</v>
      </c>
      <c r="V7" s="123">
        <f>0</f>
        <v>0</v>
      </c>
      <c r="W7" s="123">
        <f>0</f>
        <v>0</v>
      </c>
      <c r="X7" s="123">
        <f>0</f>
        <v>0</v>
      </c>
      <c r="Y7" s="123">
        <f>0</f>
        <v>0</v>
      </c>
      <c r="Z7" s="123">
        <f>0</f>
        <v>0</v>
      </c>
      <c r="AA7" s="123">
        <f>0</f>
        <v>0</v>
      </c>
      <c r="AB7" s="123">
        <f>0</f>
        <v>0</v>
      </c>
      <c r="AC7" s="123">
        <f>0</f>
        <v>0</v>
      </c>
      <c r="AD7" s="123">
        <f>0</f>
        <v>0</v>
      </c>
      <c r="AE7" s="123">
        <f>0</f>
        <v>0</v>
      </c>
      <c r="AF7" s="123">
        <f>0</f>
        <v>0</v>
      </c>
      <c r="AG7" s="123">
        <f>0</f>
        <v>0</v>
      </c>
      <c r="AH7" s="123">
        <f>0</f>
        <v>0</v>
      </c>
    </row>
    <row r="8" spans="1:34" s="108" customFormat="1" ht="12">
      <c r="A8" s="152" t="s">
        <v>4</v>
      </c>
      <c r="B8" s="153"/>
      <c r="C8" s="334" t="s">
        <v>5</v>
      </c>
      <c r="D8" s="335"/>
      <c r="E8" s="117">
        <f>7470600</f>
        <v>7470600</v>
      </c>
      <c r="F8" s="121">
        <f>0</f>
        <v>0</v>
      </c>
      <c r="G8" s="121">
        <f>0</f>
        <v>0</v>
      </c>
      <c r="H8" s="121">
        <f>0</f>
        <v>0</v>
      </c>
      <c r="I8" s="121">
        <f>0</f>
        <v>0</v>
      </c>
      <c r="J8" s="121">
        <f>0</f>
        <v>0</v>
      </c>
      <c r="K8" s="121">
        <f>0</f>
        <v>0</v>
      </c>
      <c r="L8" s="121">
        <f>0</f>
        <v>0</v>
      </c>
      <c r="M8" s="121">
        <f>0</f>
        <v>0</v>
      </c>
      <c r="N8" s="122">
        <f>0</f>
        <v>0</v>
      </c>
      <c r="O8" s="122">
        <f>0</f>
        <v>0</v>
      </c>
      <c r="P8" s="122">
        <f>0</f>
        <v>0</v>
      </c>
      <c r="Q8" s="122">
        <f>0</f>
        <v>0</v>
      </c>
      <c r="R8" s="122">
        <f>0</f>
        <v>0</v>
      </c>
      <c r="S8" s="122">
        <f>0</f>
        <v>0</v>
      </c>
      <c r="T8" s="122">
        <f>0</f>
        <v>0</v>
      </c>
      <c r="U8" s="122">
        <f>0</f>
        <v>0</v>
      </c>
      <c r="V8" s="123">
        <f>0</f>
        <v>0</v>
      </c>
      <c r="W8" s="123">
        <f>0</f>
        <v>0</v>
      </c>
      <c r="X8" s="123">
        <f>0</f>
        <v>0</v>
      </c>
      <c r="Y8" s="123">
        <f>0</f>
        <v>0</v>
      </c>
      <c r="Z8" s="123">
        <f>0</f>
        <v>0</v>
      </c>
      <c r="AA8" s="123">
        <f>0</f>
        <v>0</v>
      </c>
      <c r="AB8" s="123">
        <f>0</f>
        <v>0</v>
      </c>
      <c r="AC8" s="123">
        <f>0</f>
        <v>0</v>
      </c>
      <c r="AD8" s="123">
        <f>0</f>
        <v>0</v>
      </c>
      <c r="AE8" s="123">
        <f>0</f>
        <v>0</v>
      </c>
      <c r="AF8" s="123">
        <f>0</f>
        <v>0</v>
      </c>
      <c r="AG8" s="123">
        <f>0</f>
        <v>0</v>
      </c>
      <c r="AH8" s="123">
        <f>0</f>
        <v>0</v>
      </c>
    </row>
    <row r="9" spans="1:34" s="108" customFormat="1" ht="12">
      <c r="A9" s="152" t="s">
        <v>11</v>
      </c>
      <c r="B9" s="154"/>
      <c r="C9" s="155"/>
      <c r="D9" s="156" t="s">
        <v>6</v>
      </c>
      <c r="E9" s="117">
        <f>0</f>
        <v>0</v>
      </c>
      <c r="F9" s="121">
        <v>20000</v>
      </c>
      <c r="G9" s="121">
        <f>0</f>
        <v>0</v>
      </c>
      <c r="H9" s="121">
        <f>0</f>
        <v>0</v>
      </c>
      <c r="I9" s="121">
        <f>0</f>
        <v>0</v>
      </c>
      <c r="J9" s="121">
        <f>0</f>
        <v>0</v>
      </c>
      <c r="K9" s="121">
        <f>0</f>
        <v>0</v>
      </c>
      <c r="L9" s="121">
        <f>0</f>
        <v>0</v>
      </c>
      <c r="M9" s="121">
        <f>0</f>
        <v>0</v>
      </c>
      <c r="N9" s="122">
        <f>0</f>
        <v>0</v>
      </c>
      <c r="O9" s="122">
        <f>0</f>
        <v>0</v>
      </c>
      <c r="P9" s="122">
        <f>0</f>
        <v>0</v>
      </c>
      <c r="Q9" s="122">
        <f>0</f>
        <v>0</v>
      </c>
      <c r="R9" s="122">
        <f>0</f>
        <v>0</v>
      </c>
      <c r="S9" s="122">
        <f>0</f>
        <v>0</v>
      </c>
      <c r="T9" s="122">
        <f>0</f>
        <v>0</v>
      </c>
      <c r="U9" s="122">
        <f>0</f>
        <v>0</v>
      </c>
      <c r="V9" s="123">
        <f>0</f>
        <v>0</v>
      </c>
      <c r="W9" s="123">
        <f>0</f>
        <v>0</v>
      </c>
      <c r="X9" s="123">
        <f>0</f>
        <v>0</v>
      </c>
      <c r="Y9" s="123">
        <f>0</f>
        <v>0</v>
      </c>
      <c r="Z9" s="123">
        <f>0</f>
        <v>0</v>
      </c>
      <c r="AA9" s="123">
        <f>0</f>
        <v>0</v>
      </c>
      <c r="AB9" s="123">
        <f>0</f>
        <v>0</v>
      </c>
      <c r="AC9" s="123">
        <f>0</f>
        <v>0</v>
      </c>
      <c r="AD9" s="123">
        <f>0</f>
        <v>0</v>
      </c>
      <c r="AE9" s="123">
        <f>0</f>
        <v>0</v>
      </c>
      <c r="AF9" s="123">
        <f>0</f>
        <v>0</v>
      </c>
      <c r="AG9" s="123">
        <f>0</f>
        <v>0</v>
      </c>
      <c r="AH9" s="123">
        <f>0</f>
        <v>0</v>
      </c>
    </row>
    <row r="10" spans="1:34" s="108" customFormat="1" ht="12">
      <c r="A10" s="157" t="s">
        <v>7</v>
      </c>
      <c r="B10" s="309" t="s">
        <v>8</v>
      </c>
      <c r="C10" s="310"/>
      <c r="D10" s="311"/>
      <c r="E10" s="124">
        <f>61661426.72+16634.43</f>
        <v>61678061.15</v>
      </c>
      <c r="F10" s="125">
        <f>62918144</f>
        <v>62918144</v>
      </c>
      <c r="G10" s="125">
        <f>65164070</f>
        <v>65164070</v>
      </c>
      <c r="H10" s="125">
        <f>67778068</f>
        <v>67778068</v>
      </c>
      <c r="I10" s="125">
        <f>70491440</f>
        <v>70491440</v>
      </c>
      <c r="J10" s="125">
        <f>73774124</f>
        <v>73774124</v>
      </c>
      <c r="K10" s="125">
        <f>77169137</f>
        <v>77169137</v>
      </c>
      <c r="L10" s="125">
        <f>80708820</f>
        <v>80708820</v>
      </c>
      <c r="M10" s="125">
        <f>84368220</f>
        <v>84368220</v>
      </c>
      <c r="N10" s="126">
        <f>84740340</f>
        <v>84740340</v>
      </c>
      <c r="O10" s="126">
        <f>0</f>
        <v>0</v>
      </c>
      <c r="P10" s="126">
        <f>0</f>
        <v>0</v>
      </c>
      <c r="Q10" s="126">
        <f>0</f>
        <v>0</v>
      </c>
      <c r="R10" s="126">
        <f>0</f>
        <v>0</v>
      </c>
      <c r="S10" s="126">
        <f>0</f>
        <v>0</v>
      </c>
      <c r="T10" s="126">
        <f>0</f>
        <v>0</v>
      </c>
      <c r="U10" s="126">
        <f>0</f>
        <v>0</v>
      </c>
      <c r="V10" s="127">
        <f>0</f>
        <v>0</v>
      </c>
      <c r="W10" s="127">
        <f>0</f>
        <v>0</v>
      </c>
      <c r="X10" s="127">
        <f>0</f>
        <v>0</v>
      </c>
      <c r="Y10" s="127">
        <f>0</f>
        <v>0</v>
      </c>
      <c r="Z10" s="127">
        <f>0</f>
        <v>0</v>
      </c>
      <c r="AA10" s="127">
        <f>0</f>
        <v>0</v>
      </c>
      <c r="AB10" s="127">
        <f>0</f>
        <v>0</v>
      </c>
      <c r="AC10" s="127">
        <f>0</f>
        <v>0</v>
      </c>
      <c r="AD10" s="127">
        <f>0</f>
        <v>0</v>
      </c>
      <c r="AE10" s="127">
        <f>0</f>
        <v>0</v>
      </c>
      <c r="AF10" s="127">
        <f>0</f>
        <v>0</v>
      </c>
      <c r="AG10" s="127">
        <f>0</f>
        <v>0</v>
      </c>
      <c r="AH10" s="127">
        <f>0</f>
        <v>0</v>
      </c>
    </row>
    <row r="11" spans="1:34" s="108" customFormat="1" ht="12">
      <c r="A11" s="152" t="s">
        <v>2</v>
      </c>
      <c r="B11" s="153"/>
      <c r="C11" s="334" t="s">
        <v>9</v>
      </c>
      <c r="D11" s="335"/>
      <c r="E11" s="117">
        <f>24557857</f>
        <v>24557857</v>
      </c>
      <c r="F11" s="121">
        <f>26111400</f>
        <v>26111400</v>
      </c>
      <c r="G11" s="121">
        <f>27416970</f>
        <v>27416970</v>
      </c>
      <c r="H11" s="121">
        <f>29061900</f>
        <v>29061900</v>
      </c>
      <c r="I11" s="121">
        <f>30805700</f>
        <v>30805700</v>
      </c>
      <c r="J11" s="121">
        <f>32654050</f>
        <v>32654050</v>
      </c>
      <c r="K11" s="121">
        <f>34613300</f>
        <v>34613300</v>
      </c>
      <c r="L11" s="121">
        <f>36690100</f>
        <v>36690100</v>
      </c>
      <c r="M11" s="121">
        <f>38891500</f>
        <v>38891500</v>
      </c>
      <c r="N11" s="122">
        <f>41224900</f>
        <v>41224900</v>
      </c>
      <c r="O11" s="122">
        <f>0</f>
        <v>0</v>
      </c>
      <c r="P11" s="122">
        <f>0</f>
        <v>0</v>
      </c>
      <c r="Q11" s="122">
        <f>0</f>
        <v>0</v>
      </c>
      <c r="R11" s="122">
        <f>0</f>
        <v>0</v>
      </c>
      <c r="S11" s="122">
        <f>0</f>
        <v>0</v>
      </c>
      <c r="T11" s="122">
        <f>0</f>
        <v>0</v>
      </c>
      <c r="U11" s="122">
        <f>0</f>
        <v>0</v>
      </c>
      <c r="V11" s="123">
        <f>0</f>
        <v>0</v>
      </c>
      <c r="W11" s="123">
        <f>0</f>
        <v>0</v>
      </c>
      <c r="X11" s="123">
        <f>0</f>
        <v>0</v>
      </c>
      <c r="Y11" s="123">
        <f>0</f>
        <v>0</v>
      </c>
      <c r="Z11" s="123">
        <f>0</f>
        <v>0</v>
      </c>
      <c r="AA11" s="123">
        <f>0</f>
        <v>0</v>
      </c>
      <c r="AB11" s="123">
        <f>0</f>
        <v>0</v>
      </c>
      <c r="AC11" s="123">
        <f>0</f>
        <v>0</v>
      </c>
      <c r="AD11" s="123">
        <f>0</f>
        <v>0</v>
      </c>
      <c r="AE11" s="123">
        <f>0</f>
        <v>0</v>
      </c>
      <c r="AF11" s="123">
        <f>0</f>
        <v>0</v>
      </c>
      <c r="AG11" s="123">
        <f>0</f>
        <v>0</v>
      </c>
      <c r="AH11" s="123">
        <f>0</f>
        <v>0</v>
      </c>
    </row>
    <row r="12" spans="1:34" s="108" customFormat="1" ht="12">
      <c r="A12" s="152" t="s">
        <v>4</v>
      </c>
      <c r="B12" s="153"/>
      <c r="C12" s="334" t="s">
        <v>10</v>
      </c>
      <c r="D12" s="335"/>
      <c r="E12" s="117">
        <f>7249174</f>
        <v>7249174</v>
      </c>
      <c r="F12" s="121">
        <f>7515800</f>
        <v>7515800</v>
      </c>
      <c r="G12" s="121">
        <f>7966800</f>
        <v>7966800</v>
      </c>
      <c r="H12" s="121">
        <f>8444800</f>
        <v>8444800</v>
      </c>
      <c r="I12" s="121">
        <f>8951400</f>
        <v>8951400</v>
      </c>
      <c r="J12" s="121">
        <f>9488500</f>
        <v>9488500</v>
      </c>
      <c r="K12" s="121">
        <f>10057700</f>
        <v>10057700</v>
      </c>
      <c r="L12" s="121">
        <f>10661300</f>
        <v>10661300</v>
      </c>
      <c r="M12" s="121">
        <f>11300900</f>
        <v>11300900</v>
      </c>
      <c r="N12" s="122">
        <f>11979050</f>
        <v>11979050</v>
      </c>
      <c r="O12" s="122">
        <f>0</f>
        <v>0</v>
      </c>
      <c r="P12" s="122">
        <f>0</f>
        <v>0</v>
      </c>
      <c r="Q12" s="122">
        <f>0</f>
        <v>0</v>
      </c>
      <c r="R12" s="122">
        <f>0</f>
        <v>0</v>
      </c>
      <c r="S12" s="122">
        <f>0</f>
        <v>0</v>
      </c>
      <c r="T12" s="122">
        <f>0</f>
        <v>0</v>
      </c>
      <c r="U12" s="122">
        <f>0</f>
        <v>0</v>
      </c>
      <c r="V12" s="123">
        <f>0</f>
        <v>0</v>
      </c>
      <c r="W12" s="123">
        <f>0</f>
        <v>0</v>
      </c>
      <c r="X12" s="123">
        <f>0</f>
        <v>0</v>
      </c>
      <c r="Y12" s="123">
        <f>0</f>
        <v>0</v>
      </c>
      <c r="Z12" s="123">
        <f>0</f>
        <v>0</v>
      </c>
      <c r="AA12" s="123">
        <f>0</f>
        <v>0</v>
      </c>
      <c r="AB12" s="123">
        <f>0</f>
        <v>0</v>
      </c>
      <c r="AC12" s="123">
        <f>0</f>
        <v>0</v>
      </c>
      <c r="AD12" s="123">
        <f>0</f>
        <v>0</v>
      </c>
      <c r="AE12" s="123">
        <f>0</f>
        <v>0</v>
      </c>
      <c r="AF12" s="123">
        <f>0</f>
        <v>0</v>
      </c>
      <c r="AG12" s="123">
        <f>0</f>
        <v>0</v>
      </c>
      <c r="AH12" s="123">
        <f>0</f>
        <v>0</v>
      </c>
    </row>
    <row r="13" spans="1:34" s="108" customFormat="1" ht="12">
      <c r="A13" s="152" t="s">
        <v>11</v>
      </c>
      <c r="B13" s="153"/>
      <c r="C13" s="334" t="s">
        <v>12</v>
      </c>
      <c r="D13" s="335"/>
      <c r="E13" s="117">
        <f>0</f>
        <v>0</v>
      </c>
      <c r="F13" s="121">
        <f>0</f>
        <v>0</v>
      </c>
      <c r="G13" s="121">
        <f>0</f>
        <v>0</v>
      </c>
      <c r="H13" s="121">
        <f>0</f>
        <v>0</v>
      </c>
      <c r="I13" s="121">
        <f>0</f>
        <v>0</v>
      </c>
      <c r="J13" s="121">
        <f>0</f>
        <v>0</v>
      </c>
      <c r="K13" s="121">
        <f>0</f>
        <v>0</v>
      </c>
      <c r="L13" s="121">
        <f>0</f>
        <v>0</v>
      </c>
      <c r="M13" s="121">
        <f>0</f>
        <v>0</v>
      </c>
      <c r="N13" s="122">
        <f>0</f>
        <v>0</v>
      </c>
      <c r="O13" s="122">
        <f>0</f>
        <v>0</v>
      </c>
      <c r="P13" s="122">
        <f>0</f>
        <v>0</v>
      </c>
      <c r="Q13" s="122">
        <f>0</f>
        <v>0</v>
      </c>
      <c r="R13" s="122">
        <f>0</f>
        <v>0</v>
      </c>
      <c r="S13" s="122">
        <f>0</f>
        <v>0</v>
      </c>
      <c r="T13" s="122">
        <f>0</f>
        <v>0</v>
      </c>
      <c r="U13" s="122">
        <f>0</f>
        <v>0</v>
      </c>
      <c r="V13" s="123">
        <f>0</f>
        <v>0</v>
      </c>
      <c r="W13" s="123">
        <f>0</f>
        <v>0</v>
      </c>
      <c r="X13" s="123">
        <f>0</f>
        <v>0</v>
      </c>
      <c r="Y13" s="123">
        <f>0</f>
        <v>0</v>
      </c>
      <c r="Z13" s="123">
        <f>0</f>
        <v>0</v>
      </c>
      <c r="AA13" s="123">
        <f>0</f>
        <v>0</v>
      </c>
      <c r="AB13" s="123">
        <f>0</f>
        <v>0</v>
      </c>
      <c r="AC13" s="123">
        <f>0</f>
        <v>0</v>
      </c>
      <c r="AD13" s="123">
        <f>0</f>
        <v>0</v>
      </c>
      <c r="AE13" s="123">
        <f>0</f>
        <v>0</v>
      </c>
      <c r="AF13" s="123">
        <f>0</f>
        <v>0</v>
      </c>
      <c r="AG13" s="123">
        <f>0</f>
        <v>0</v>
      </c>
      <c r="AH13" s="123">
        <f>0</f>
        <v>0</v>
      </c>
    </row>
    <row r="14" spans="1:34" s="108" customFormat="1" ht="24">
      <c r="A14" s="152" t="s">
        <v>14</v>
      </c>
      <c r="B14" s="153"/>
      <c r="C14" s="158"/>
      <c r="D14" s="156" t="s">
        <v>13</v>
      </c>
      <c r="E14" s="117">
        <f>0</f>
        <v>0</v>
      </c>
      <c r="F14" s="121">
        <f>0</f>
        <v>0</v>
      </c>
      <c r="G14" s="121">
        <f>0</f>
        <v>0</v>
      </c>
      <c r="H14" s="121">
        <f>0</f>
        <v>0</v>
      </c>
      <c r="I14" s="121">
        <f>0</f>
        <v>0</v>
      </c>
      <c r="J14" s="121">
        <f>0</f>
        <v>0</v>
      </c>
      <c r="K14" s="121">
        <f>0</f>
        <v>0</v>
      </c>
      <c r="L14" s="121">
        <f>0</f>
        <v>0</v>
      </c>
      <c r="M14" s="121">
        <f>0</f>
        <v>0</v>
      </c>
      <c r="N14" s="122">
        <f>0</f>
        <v>0</v>
      </c>
      <c r="O14" s="122">
        <f>0</f>
        <v>0</v>
      </c>
      <c r="P14" s="122">
        <f>0</f>
        <v>0</v>
      </c>
      <c r="Q14" s="122">
        <f>0</f>
        <v>0</v>
      </c>
      <c r="R14" s="122">
        <f>0</f>
        <v>0</v>
      </c>
      <c r="S14" s="122">
        <f>0</f>
        <v>0</v>
      </c>
      <c r="T14" s="122">
        <f>0</f>
        <v>0</v>
      </c>
      <c r="U14" s="122">
        <f>0</f>
        <v>0</v>
      </c>
      <c r="V14" s="123">
        <f>0</f>
        <v>0</v>
      </c>
      <c r="W14" s="123">
        <f>0</f>
        <v>0</v>
      </c>
      <c r="X14" s="123">
        <f>0</f>
        <v>0</v>
      </c>
      <c r="Y14" s="123">
        <f>0</f>
        <v>0</v>
      </c>
      <c r="Z14" s="123">
        <f>0</f>
        <v>0</v>
      </c>
      <c r="AA14" s="123">
        <f>0</f>
        <v>0</v>
      </c>
      <c r="AB14" s="123">
        <f>0</f>
        <v>0</v>
      </c>
      <c r="AC14" s="123">
        <f>0</f>
        <v>0</v>
      </c>
      <c r="AD14" s="123">
        <f>0</f>
        <v>0</v>
      </c>
      <c r="AE14" s="123">
        <f>0</f>
        <v>0</v>
      </c>
      <c r="AF14" s="123">
        <f>0</f>
        <v>0</v>
      </c>
      <c r="AG14" s="123">
        <f>0</f>
        <v>0</v>
      </c>
      <c r="AH14" s="123">
        <f>0</f>
        <v>0</v>
      </c>
    </row>
    <row r="15" spans="1:34" s="108" customFormat="1" ht="12">
      <c r="A15" s="152" t="s">
        <v>50</v>
      </c>
      <c r="B15" s="153"/>
      <c r="C15" s="334" t="s">
        <v>15</v>
      </c>
      <c r="D15" s="335"/>
      <c r="E15" s="117">
        <f>0</f>
        <v>0</v>
      </c>
      <c r="F15" s="121">
        <f>0</f>
        <v>0</v>
      </c>
      <c r="G15" s="121">
        <f>0</f>
        <v>0</v>
      </c>
      <c r="H15" s="121">
        <f>0</f>
        <v>0</v>
      </c>
      <c r="I15" s="121">
        <f>0</f>
        <v>0</v>
      </c>
      <c r="J15" s="121">
        <f>0</f>
        <v>0</v>
      </c>
      <c r="K15" s="121">
        <f>0</f>
        <v>0</v>
      </c>
      <c r="L15" s="121">
        <f>0</f>
        <v>0</v>
      </c>
      <c r="M15" s="121">
        <f>0</f>
        <v>0</v>
      </c>
      <c r="N15" s="122">
        <f>0</f>
        <v>0</v>
      </c>
      <c r="O15" s="122">
        <f>0</f>
        <v>0</v>
      </c>
      <c r="P15" s="122">
        <f>0</f>
        <v>0</v>
      </c>
      <c r="Q15" s="122">
        <f>0</f>
        <v>0</v>
      </c>
      <c r="R15" s="122">
        <f>0</f>
        <v>0</v>
      </c>
      <c r="S15" s="122">
        <f>0</f>
        <v>0</v>
      </c>
      <c r="T15" s="122">
        <f>0</f>
        <v>0</v>
      </c>
      <c r="U15" s="122">
        <f>0</f>
        <v>0</v>
      </c>
      <c r="V15" s="123">
        <f>0</f>
        <v>0</v>
      </c>
      <c r="W15" s="123">
        <f>0</f>
        <v>0</v>
      </c>
      <c r="X15" s="123">
        <f>0</f>
        <v>0</v>
      </c>
      <c r="Y15" s="123">
        <f>0</f>
        <v>0</v>
      </c>
      <c r="Z15" s="123">
        <f>0</f>
        <v>0</v>
      </c>
      <c r="AA15" s="123">
        <f>0</f>
        <v>0</v>
      </c>
      <c r="AB15" s="123">
        <f>0</f>
        <v>0</v>
      </c>
      <c r="AC15" s="123">
        <f>0</f>
        <v>0</v>
      </c>
      <c r="AD15" s="123">
        <f>0</f>
        <v>0</v>
      </c>
      <c r="AE15" s="123">
        <f>0</f>
        <v>0</v>
      </c>
      <c r="AF15" s="123">
        <f>0</f>
        <v>0</v>
      </c>
      <c r="AG15" s="123">
        <f>0</f>
        <v>0</v>
      </c>
      <c r="AH15" s="123">
        <f>0</f>
        <v>0</v>
      </c>
    </row>
    <row r="16" spans="1:34" s="108" customFormat="1" ht="12">
      <c r="A16" s="157" t="s">
        <v>16</v>
      </c>
      <c r="B16" s="318" t="s">
        <v>54</v>
      </c>
      <c r="C16" s="319"/>
      <c r="D16" s="320"/>
      <c r="E16" s="124">
        <f>17220097.07</f>
        <v>17220097.07</v>
      </c>
      <c r="F16" s="125">
        <f>12587515</f>
        <v>12587515</v>
      </c>
      <c r="G16" s="125">
        <f>16071219</f>
        <v>16071219</v>
      </c>
      <c r="H16" s="125">
        <f>18264571</f>
        <v>18264571</v>
      </c>
      <c r="I16" s="125">
        <f>21031909</f>
        <v>21031909</v>
      </c>
      <c r="J16" s="125">
        <f>21719988</f>
        <v>21719988</v>
      </c>
      <c r="K16" s="125">
        <f>23397519</f>
        <v>23397519</v>
      </c>
      <c r="L16" s="125">
        <f>25889289</f>
        <v>25889289</v>
      </c>
      <c r="M16" s="125">
        <f>28693269</f>
        <v>28693269</v>
      </c>
      <c r="N16" s="126">
        <f>32075344</f>
        <v>32075344</v>
      </c>
      <c r="O16" s="126">
        <f>0</f>
        <v>0</v>
      </c>
      <c r="P16" s="126">
        <f>0</f>
        <v>0</v>
      </c>
      <c r="Q16" s="126">
        <f>0</f>
        <v>0</v>
      </c>
      <c r="R16" s="126">
        <f>0</f>
        <v>0</v>
      </c>
      <c r="S16" s="126">
        <f>0</f>
        <v>0</v>
      </c>
      <c r="T16" s="126">
        <f>0</f>
        <v>0</v>
      </c>
      <c r="U16" s="126">
        <f>0</f>
        <v>0</v>
      </c>
      <c r="V16" s="127">
        <f>0</f>
        <v>0</v>
      </c>
      <c r="W16" s="127">
        <f>0</f>
        <v>0</v>
      </c>
      <c r="X16" s="127">
        <f>0</f>
        <v>0</v>
      </c>
      <c r="Y16" s="127">
        <f>0</f>
        <v>0</v>
      </c>
      <c r="Z16" s="127">
        <f>0</f>
        <v>0</v>
      </c>
      <c r="AA16" s="127">
        <f>0</f>
        <v>0</v>
      </c>
      <c r="AB16" s="127">
        <f>0</f>
        <v>0</v>
      </c>
      <c r="AC16" s="127">
        <f>0</f>
        <v>0</v>
      </c>
      <c r="AD16" s="127">
        <f>0</f>
        <v>0</v>
      </c>
      <c r="AE16" s="127">
        <f>0</f>
        <v>0</v>
      </c>
      <c r="AF16" s="127">
        <f>0</f>
        <v>0</v>
      </c>
      <c r="AG16" s="127">
        <f>0</f>
        <v>0</v>
      </c>
      <c r="AH16" s="127">
        <f>0</f>
        <v>0</v>
      </c>
    </row>
    <row r="17" spans="1:34" s="108" customFormat="1" ht="12">
      <c r="A17" s="157" t="s">
        <v>17</v>
      </c>
      <c r="B17" s="321" t="s">
        <v>18</v>
      </c>
      <c r="C17" s="322"/>
      <c r="D17" s="323"/>
      <c r="E17" s="124">
        <f>7500000</f>
        <v>7500000</v>
      </c>
      <c r="F17" s="125">
        <f>0</f>
        <v>0</v>
      </c>
      <c r="G17" s="125">
        <f>0</f>
        <v>0</v>
      </c>
      <c r="H17" s="125">
        <f>0</f>
        <v>0</v>
      </c>
      <c r="I17" s="125">
        <f>0</f>
        <v>0</v>
      </c>
      <c r="J17" s="125">
        <f>0</f>
        <v>0</v>
      </c>
      <c r="K17" s="125">
        <f>0</f>
        <v>0</v>
      </c>
      <c r="L17" s="125">
        <f>0</f>
        <v>0</v>
      </c>
      <c r="M17" s="125">
        <f>0</f>
        <v>0</v>
      </c>
      <c r="N17" s="126">
        <f>0</f>
        <v>0</v>
      </c>
      <c r="O17" s="126">
        <f>0</f>
        <v>0</v>
      </c>
      <c r="P17" s="126">
        <f>0</f>
        <v>0</v>
      </c>
      <c r="Q17" s="126">
        <f>0</f>
        <v>0</v>
      </c>
      <c r="R17" s="126">
        <f>0</f>
        <v>0</v>
      </c>
      <c r="S17" s="126">
        <f>0</f>
        <v>0</v>
      </c>
      <c r="T17" s="126">
        <f>0</f>
        <v>0</v>
      </c>
      <c r="U17" s="126">
        <f>0</f>
        <v>0</v>
      </c>
      <c r="V17" s="127">
        <f>0</f>
        <v>0</v>
      </c>
      <c r="W17" s="127">
        <f>0</f>
        <v>0</v>
      </c>
      <c r="X17" s="127">
        <f>0</f>
        <v>0</v>
      </c>
      <c r="Y17" s="127">
        <f>0</f>
        <v>0</v>
      </c>
      <c r="Z17" s="127">
        <f>0</f>
        <v>0</v>
      </c>
      <c r="AA17" s="127">
        <f>0</f>
        <v>0</v>
      </c>
      <c r="AB17" s="127">
        <f>0</f>
        <v>0</v>
      </c>
      <c r="AC17" s="127">
        <f>0</f>
        <v>0</v>
      </c>
      <c r="AD17" s="127">
        <f>0</f>
        <v>0</v>
      </c>
      <c r="AE17" s="127">
        <f>0</f>
        <v>0</v>
      </c>
      <c r="AF17" s="127">
        <f>0</f>
        <v>0</v>
      </c>
      <c r="AG17" s="127">
        <f>0</f>
        <v>0</v>
      </c>
      <c r="AH17" s="127">
        <f>0</f>
        <v>0</v>
      </c>
    </row>
    <row r="18" spans="1:34" s="108" customFormat="1" ht="12">
      <c r="A18" s="152" t="s">
        <v>2</v>
      </c>
      <c r="B18" s="153"/>
      <c r="C18" s="326" t="s">
        <v>81</v>
      </c>
      <c r="D18" s="327"/>
      <c r="E18" s="117">
        <f>0</f>
        <v>0</v>
      </c>
      <c r="F18" s="121">
        <f>0</f>
        <v>0</v>
      </c>
      <c r="G18" s="121">
        <f>0</f>
        <v>0</v>
      </c>
      <c r="H18" s="121">
        <f>0</f>
        <v>0</v>
      </c>
      <c r="I18" s="121">
        <f>0</f>
        <v>0</v>
      </c>
      <c r="J18" s="121">
        <f>0</f>
        <v>0</v>
      </c>
      <c r="K18" s="121">
        <f>0</f>
        <v>0</v>
      </c>
      <c r="L18" s="121">
        <f>0</f>
        <v>0</v>
      </c>
      <c r="M18" s="121">
        <f>0</f>
        <v>0</v>
      </c>
      <c r="N18" s="122">
        <f>0</f>
        <v>0</v>
      </c>
      <c r="O18" s="122">
        <f>0</f>
        <v>0</v>
      </c>
      <c r="P18" s="122">
        <f>0</f>
        <v>0</v>
      </c>
      <c r="Q18" s="122">
        <f>0</f>
        <v>0</v>
      </c>
      <c r="R18" s="122">
        <f>0</f>
        <v>0</v>
      </c>
      <c r="S18" s="122">
        <f>0</f>
        <v>0</v>
      </c>
      <c r="T18" s="122">
        <f>0</f>
        <v>0</v>
      </c>
      <c r="U18" s="122">
        <f>0</f>
        <v>0</v>
      </c>
      <c r="V18" s="123">
        <f>0</f>
        <v>0</v>
      </c>
      <c r="W18" s="123">
        <f>0</f>
        <v>0</v>
      </c>
      <c r="X18" s="123">
        <f>0</f>
        <v>0</v>
      </c>
      <c r="Y18" s="123">
        <f>0</f>
        <v>0</v>
      </c>
      <c r="Z18" s="123">
        <f>0</f>
        <v>0</v>
      </c>
      <c r="AA18" s="123">
        <f>0</f>
        <v>0</v>
      </c>
      <c r="AB18" s="123">
        <f>0</f>
        <v>0</v>
      </c>
      <c r="AC18" s="123">
        <f>0</f>
        <v>0</v>
      </c>
      <c r="AD18" s="123">
        <f>0</f>
        <v>0</v>
      </c>
      <c r="AE18" s="123">
        <f>0</f>
        <v>0</v>
      </c>
      <c r="AF18" s="123">
        <f>0</f>
        <v>0</v>
      </c>
      <c r="AG18" s="123">
        <f>0</f>
        <v>0</v>
      </c>
      <c r="AH18" s="123">
        <f>0</f>
        <v>0</v>
      </c>
    </row>
    <row r="19" spans="1:34" s="108" customFormat="1" ht="12">
      <c r="A19" s="157" t="s">
        <v>19</v>
      </c>
      <c r="B19" s="309" t="s">
        <v>80</v>
      </c>
      <c r="C19" s="310"/>
      <c r="D19" s="311"/>
      <c r="E19" s="124">
        <f>0</f>
        <v>0</v>
      </c>
      <c r="F19" s="125">
        <f>0</f>
        <v>0</v>
      </c>
      <c r="G19" s="125">
        <f>0</f>
        <v>0</v>
      </c>
      <c r="H19" s="125">
        <f>0</f>
        <v>0</v>
      </c>
      <c r="I19" s="125">
        <f>0</f>
        <v>0</v>
      </c>
      <c r="J19" s="125">
        <f>0</f>
        <v>0</v>
      </c>
      <c r="K19" s="125">
        <f>0</f>
        <v>0</v>
      </c>
      <c r="L19" s="125">
        <f>0</f>
        <v>0</v>
      </c>
      <c r="M19" s="125">
        <f>0</f>
        <v>0</v>
      </c>
      <c r="N19" s="126">
        <f>0</f>
        <v>0</v>
      </c>
      <c r="O19" s="126">
        <f>0</f>
        <v>0</v>
      </c>
      <c r="P19" s="126">
        <f>0</f>
        <v>0</v>
      </c>
      <c r="Q19" s="126">
        <f>0</f>
        <v>0</v>
      </c>
      <c r="R19" s="126">
        <f>0</f>
        <v>0</v>
      </c>
      <c r="S19" s="126">
        <f>0</f>
        <v>0</v>
      </c>
      <c r="T19" s="126">
        <f>0</f>
        <v>0</v>
      </c>
      <c r="U19" s="126">
        <f>0</f>
        <v>0</v>
      </c>
      <c r="V19" s="127">
        <f>0</f>
        <v>0</v>
      </c>
      <c r="W19" s="127">
        <f>0</f>
        <v>0</v>
      </c>
      <c r="X19" s="127">
        <f>0</f>
        <v>0</v>
      </c>
      <c r="Y19" s="127">
        <f>0</f>
        <v>0</v>
      </c>
      <c r="Z19" s="127">
        <f>0</f>
        <v>0</v>
      </c>
      <c r="AA19" s="127">
        <f>0</f>
        <v>0</v>
      </c>
      <c r="AB19" s="127">
        <f>0</f>
        <v>0</v>
      </c>
      <c r="AC19" s="127">
        <f>0</f>
        <v>0</v>
      </c>
      <c r="AD19" s="127">
        <f>0</f>
        <v>0</v>
      </c>
      <c r="AE19" s="127">
        <f>0</f>
        <v>0</v>
      </c>
      <c r="AF19" s="127">
        <f>0</f>
        <v>0</v>
      </c>
      <c r="AG19" s="127">
        <f>0</f>
        <v>0</v>
      </c>
      <c r="AH19" s="127">
        <f>0</f>
        <v>0</v>
      </c>
    </row>
    <row r="20" spans="1:34" s="108" customFormat="1" ht="12">
      <c r="A20" s="157" t="s">
        <v>20</v>
      </c>
      <c r="B20" s="321" t="s">
        <v>53</v>
      </c>
      <c r="C20" s="322"/>
      <c r="D20" s="323"/>
      <c r="E20" s="124">
        <f>24794153.33</f>
        <v>24794153.33</v>
      </c>
      <c r="F20" s="125">
        <f>12587515</f>
        <v>12587515</v>
      </c>
      <c r="G20" s="125">
        <f>16071219</f>
        <v>16071219</v>
      </c>
      <c r="H20" s="125">
        <f>18264571</f>
        <v>18264571</v>
      </c>
      <c r="I20" s="125">
        <f>21031909</f>
        <v>21031909</v>
      </c>
      <c r="J20" s="125">
        <f>21719988</f>
        <v>21719988</v>
      </c>
      <c r="K20" s="125">
        <f>23397519</f>
        <v>23397519</v>
      </c>
      <c r="L20" s="125">
        <f>25889289</f>
        <v>25889289</v>
      </c>
      <c r="M20" s="125">
        <f>28693269</f>
        <v>28693269</v>
      </c>
      <c r="N20" s="126">
        <f>32075344</f>
        <v>32075344</v>
      </c>
      <c r="O20" s="126">
        <f>0</f>
        <v>0</v>
      </c>
      <c r="P20" s="126">
        <f>0</f>
        <v>0</v>
      </c>
      <c r="Q20" s="126">
        <f>0</f>
        <v>0</v>
      </c>
      <c r="R20" s="126">
        <f>0</f>
        <v>0</v>
      </c>
      <c r="S20" s="126">
        <f>0</f>
        <v>0</v>
      </c>
      <c r="T20" s="126">
        <f>0</f>
        <v>0</v>
      </c>
      <c r="U20" s="126">
        <f>0</f>
        <v>0</v>
      </c>
      <c r="V20" s="127">
        <f>0</f>
        <v>0</v>
      </c>
      <c r="W20" s="127">
        <f>0</f>
        <v>0</v>
      </c>
      <c r="X20" s="127">
        <f>0</f>
        <v>0</v>
      </c>
      <c r="Y20" s="127">
        <f>0</f>
        <v>0</v>
      </c>
      <c r="Z20" s="127">
        <f>0</f>
        <v>0</v>
      </c>
      <c r="AA20" s="127">
        <f>0</f>
        <v>0</v>
      </c>
      <c r="AB20" s="127">
        <f>0</f>
        <v>0</v>
      </c>
      <c r="AC20" s="127">
        <f>0</f>
        <v>0</v>
      </c>
      <c r="AD20" s="127">
        <f>0</f>
        <v>0</v>
      </c>
      <c r="AE20" s="127">
        <f>0</f>
        <v>0</v>
      </c>
      <c r="AF20" s="127">
        <f>0</f>
        <v>0</v>
      </c>
      <c r="AG20" s="127">
        <f>0</f>
        <v>0</v>
      </c>
      <c r="AH20" s="127">
        <f>0</f>
        <v>0</v>
      </c>
    </row>
    <row r="21" spans="1:34" s="108" customFormat="1" ht="12">
      <c r="A21" s="157" t="s">
        <v>21</v>
      </c>
      <c r="B21" s="321" t="s">
        <v>22</v>
      </c>
      <c r="C21" s="322"/>
      <c r="D21" s="323"/>
      <c r="E21" s="124">
        <f>7542527</f>
        <v>7542527</v>
      </c>
      <c r="F21" s="125">
        <f>7957382</f>
        <v>7957382</v>
      </c>
      <c r="G21" s="125">
        <f>8885242</f>
        <v>8885242</v>
      </c>
      <c r="H21" s="125">
        <f>8624852</f>
        <v>8624852</v>
      </c>
      <c r="I21" s="125">
        <f>8298317</f>
        <v>8298317</v>
      </c>
      <c r="J21" s="125">
        <f>8041823</f>
        <v>8041823</v>
      </c>
      <c r="K21" s="125">
        <f>8107379</f>
        <v>8107379</v>
      </c>
      <c r="L21" s="125">
        <f>7581180</f>
        <v>7581180</v>
      </c>
      <c r="M21" s="125">
        <f>7247780</f>
        <v>7247780</v>
      </c>
      <c r="N21" s="126">
        <f>11263645</f>
        <v>11263645</v>
      </c>
      <c r="O21" s="126">
        <f>0</f>
        <v>0</v>
      </c>
      <c r="P21" s="126">
        <f>0</f>
        <v>0</v>
      </c>
      <c r="Q21" s="126">
        <f>0</f>
        <v>0</v>
      </c>
      <c r="R21" s="126">
        <f>0</f>
        <v>0</v>
      </c>
      <c r="S21" s="126">
        <f>0</f>
        <v>0</v>
      </c>
      <c r="T21" s="126">
        <f>0</f>
        <v>0</v>
      </c>
      <c r="U21" s="126">
        <f>0</f>
        <v>0</v>
      </c>
      <c r="V21" s="127">
        <f>0</f>
        <v>0</v>
      </c>
      <c r="W21" s="127">
        <f>0</f>
        <v>0</v>
      </c>
      <c r="X21" s="127">
        <f>0</f>
        <v>0</v>
      </c>
      <c r="Y21" s="127">
        <f>0</f>
        <v>0</v>
      </c>
      <c r="Z21" s="127">
        <f>0</f>
        <v>0</v>
      </c>
      <c r="AA21" s="127">
        <f>0</f>
        <v>0</v>
      </c>
      <c r="AB21" s="127">
        <f>0</f>
        <v>0</v>
      </c>
      <c r="AC21" s="127">
        <f>0</f>
        <v>0</v>
      </c>
      <c r="AD21" s="127">
        <f>0</f>
        <v>0</v>
      </c>
      <c r="AE21" s="127">
        <f>0</f>
        <v>0</v>
      </c>
      <c r="AF21" s="127">
        <f>0</f>
        <v>0</v>
      </c>
      <c r="AG21" s="127">
        <f>0</f>
        <v>0</v>
      </c>
      <c r="AH21" s="127">
        <f>0</f>
        <v>0</v>
      </c>
    </row>
    <row r="22" spans="1:34" s="108" customFormat="1" ht="12">
      <c r="A22" s="152" t="s">
        <v>2</v>
      </c>
      <c r="B22" s="153"/>
      <c r="C22" s="347" t="s">
        <v>23</v>
      </c>
      <c r="D22" s="348"/>
      <c r="E22" s="117">
        <f>6285426</f>
        <v>6285426</v>
      </c>
      <c r="F22" s="121">
        <f>6075426</f>
        <v>6075426</v>
      </c>
      <c r="G22" s="121">
        <f>6737812</f>
        <v>6737812</v>
      </c>
      <c r="H22" s="121">
        <f>6401690</f>
        <v>6401690</v>
      </c>
      <c r="I22" s="121">
        <f>5979257</f>
        <v>5979257</v>
      </c>
      <c r="J22" s="121">
        <f>6093547</f>
        <v>6093547</v>
      </c>
      <c r="K22" s="121">
        <f>6524716</f>
        <v>6524716</v>
      </c>
      <c r="L22" s="121">
        <f>6390000</f>
        <v>6390000</v>
      </c>
      <c r="M22" s="121">
        <f>6440000</f>
        <v>6440000</v>
      </c>
      <c r="N22" s="122">
        <f>10842265</f>
        <v>10842265</v>
      </c>
      <c r="O22" s="122">
        <f>0</f>
        <v>0</v>
      </c>
      <c r="P22" s="122">
        <f>0</f>
        <v>0</v>
      </c>
      <c r="Q22" s="122">
        <f>0</f>
        <v>0</v>
      </c>
      <c r="R22" s="122">
        <f>0</f>
        <v>0</v>
      </c>
      <c r="S22" s="122">
        <f>0</f>
        <v>0</v>
      </c>
      <c r="T22" s="122">
        <f>0</f>
        <v>0</v>
      </c>
      <c r="U22" s="122">
        <f>0</f>
        <v>0</v>
      </c>
      <c r="V22" s="123">
        <f>0</f>
        <v>0</v>
      </c>
      <c r="W22" s="123">
        <f>0</f>
        <v>0</v>
      </c>
      <c r="X22" s="123">
        <f>0</f>
        <v>0</v>
      </c>
      <c r="Y22" s="123">
        <f>0</f>
        <v>0</v>
      </c>
      <c r="Z22" s="123">
        <f>0</f>
        <v>0</v>
      </c>
      <c r="AA22" s="123">
        <f>0</f>
        <v>0</v>
      </c>
      <c r="AB22" s="123">
        <f>0</f>
        <v>0</v>
      </c>
      <c r="AC22" s="123">
        <f>0</f>
        <v>0</v>
      </c>
      <c r="AD22" s="123">
        <f>0</f>
        <v>0</v>
      </c>
      <c r="AE22" s="123">
        <f>0</f>
        <v>0</v>
      </c>
      <c r="AF22" s="123">
        <f>0</f>
        <v>0</v>
      </c>
      <c r="AG22" s="123">
        <f>0</f>
        <v>0</v>
      </c>
      <c r="AH22" s="123">
        <f>0</f>
        <v>0</v>
      </c>
    </row>
    <row r="23" spans="1:34" s="108" customFormat="1" ht="24">
      <c r="A23" s="152"/>
      <c r="B23" s="153"/>
      <c r="C23" s="158"/>
      <c r="D23" s="159" t="s">
        <v>164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80"/>
      <c r="O23" s="180"/>
      <c r="P23" s="180"/>
      <c r="Q23" s="180"/>
      <c r="R23" s="180"/>
      <c r="S23" s="180"/>
      <c r="T23" s="180"/>
      <c r="U23" s="180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</row>
    <row r="24" spans="1:34" s="108" customFormat="1" ht="12">
      <c r="A24" s="152" t="s">
        <v>4</v>
      </c>
      <c r="B24" s="153"/>
      <c r="C24" s="347" t="s">
        <v>24</v>
      </c>
      <c r="D24" s="348"/>
      <c r="E24" s="117">
        <f>1257101</f>
        <v>1257101</v>
      </c>
      <c r="F24" s="121">
        <f>1881956</f>
        <v>1881956</v>
      </c>
      <c r="G24" s="121">
        <f>2147430</f>
        <v>2147430</v>
      </c>
      <c r="H24" s="121">
        <f>2223162</f>
        <v>2223162</v>
      </c>
      <c r="I24" s="121">
        <f>2319060</f>
        <v>2319060</v>
      </c>
      <c r="J24" s="121">
        <f>1948276</f>
        <v>1948276</v>
      </c>
      <c r="K24" s="121">
        <f>1582663</f>
        <v>1582663</v>
      </c>
      <c r="L24" s="121">
        <f>1191180</f>
        <v>1191180</v>
      </c>
      <c r="M24" s="121">
        <f>807780</f>
        <v>807780</v>
      </c>
      <c r="N24" s="122">
        <f>421380</f>
        <v>421380</v>
      </c>
      <c r="O24" s="122">
        <f>0</f>
        <v>0</v>
      </c>
      <c r="P24" s="122">
        <f>0</f>
        <v>0</v>
      </c>
      <c r="Q24" s="122">
        <f>0</f>
        <v>0</v>
      </c>
      <c r="R24" s="122">
        <f>0</f>
        <v>0</v>
      </c>
      <c r="S24" s="122">
        <f>0</f>
        <v>0</v>
      </c>
      <c r="T24" s="122">
        <f>0</f>
        <v>0</v>
      </c>
      <c r="U24" s="122">
        <f>0</f>
        <v>0</v>
      </c>
      <c r="V24" s="123">
        <f>0</f>
        <v>0</v>
      </c>
      <c r="W24" s="123">
        <f>0</f>
        <v>0</v>
      </c>
      <c r="X24" s="123">
        <f>0</f>
        <v>0</v>
      </c>
      <c r="Y24" s="123">
        <f>0</f>
        <v>0</v>
      </c>
      <c r="Z24" s="123">
        <f>0</f>
        <v>0</v>
      </c>
      <c r="AA24" s="123">
        <f>0</f>
        <v>0</v>
      </c>
      <c r="AB24" s="123">
        <f>0</f>
        <v>0</v>
      </c>
      <c r="AC24" s="123">
        <f>0</f>
        <v>0</v>
      </c>
      <c r="AD24" s="123">
        <f>0</f>
        <v>0</v>
      </c>
      <c r="AE24" s="123">
        <f>0</f>
        <v>0</v>
      </c>
      <c r="AF24" s="123">
        <f>0</f>
        <v>0</v>
      </c>
      <c r="AG24" s="123">
        <f>0</f>
        <v>0</v>
      </c>
      <c r="AH24" s="123">
        <f>0</f>
        <v>0</v>
      </c>
    </row>
    <row r="25" spans="1:34" s="108" customFormat="1" ht="12">
      <c r="A25" s="157" t="s">
        <v>25</v>
      </c>
      <c r="B25" s="321" t="s">
        <v>26</v>
      </c>
      <c r="C25" s="322"/>
      <c r="D25" s="323"/>
      <c r="E25" s="124">
        <f>0</f>
        <v>0</v>
      </c>
      <c r="F25" s="125">
        <f>0</f>
        <v>0</v>
      </c>
      <c r="G25" s="125">
        <f>0</f>
        <v>0</v>
      </c>
      <c r="H25" s="125">
        <f>0</f>
        <v>0</v>
      </c>
      <c r="I25" s="125">
        <f>0</f>
        <v>0</v>
      </c>
      <c r="J25" s="125">
        <f>0</f>
        <v>0</v>
      </c>
      <c r="K25" s="125">
        <f>0</f>
        <v>0</v>
      </c>
      <c r="L25" s="125">
        <f>0</f>
        <v>0</v>
      </c>
      <c r="M25" s="125">
        <f>0</f>
        <v>0</v>
      </c>
      <c r="N25" s="126">
        <f>0</f>
        <v>0</v>
      </c>
      <c r="O25" s="126">
        <f>0</f>
        <v>0</v>
      </c>
      <c r="P25" s="126">
        <f>0</f>
        <v>0</v>
      </c>
      <c r="Q25" s="126">
        <f>0</f>
        <v>0</v>
      </c>
      <c r="R25" s="126">
        <f>0</f>
        <v>0</v>
      </c>
      <c r="S25" s="126">
        <f>0</f>
        <v>0</v>
      </c>
      <c r="T25" s="126">
        <f>0</f>
        <v>0</v>
      </c>
      <c r="U25" s="126">
        <f>0</f>
        <v>0</v>
      </c>
      <c r="V25" s="127">
        <f>0</f>
        <v>0</v>
      </c>
      <c r="W25" s="127">
        <f>0</f>
        <v>0</v>
      </c>
      <c r="X25" s="127">
        <f>0</f>
        <v>0</v>
      </c>
      <c r="Y25" s="127">
        <f>0</f>
        <v>0</v>
      </c>
      <c r="Z25" s="127">
        <f>0</f>
        <v>0</v>
      </c>
      <c r="AA25" s="127">
        <f>0</f>
        <v>0</v>
      </c>
      <c r="AB25" s="127">
        <f>0</f>
        <v>0</v>
      </c>
      <c r="AC25" s="127">
        <f>0</f>
        <v>0</v>
      </c>
      <c r="AD25" s="127">
        <f>0</f>
        <v>0</v>
      </c>
      <c r="AE25" s="127">
        <f>0</f>
        <v>0</v>
      </c>
      <c r="AF25" s="127">
        <f>0</f>
        <v>0</v>
      </c>
      <c r="AG25" s="127">
        <f>0</f>
        <v>0</v>
      </c>
      <c r="AH25" s="127">
        <f>0</f>
        <v>0</v>
      </c>
    </row>
    <row r="26" spans="1:34" s="108" customFormat="1" ht="12">
      <c r="A26" s="157" t="s">
        <v>27</v>
      </c>
      <c r="B26" s="318" t="s">
        <v>52</v>
      </c>
      <c r="C26" s="319"/>
      <c r="D26" s="320"/>
      <c r="E26" s="124">
        <f>17251626.33</f>
        <v>17251626.33</v>
      </c>
      <c r="F26" s="125">
        <f>4630133</f>
        <v>4630133</v>
      </c>
      <c r="G26" s="125">
        <f>7185977</f>
        <v>7185977</v>
      </c>
      <c r="H26" s="125">
        <f>9639719</f>
        <v>9639719</v>
      </c>
      <c r="I26" s="125">
        <f>12733592</f>
        <v>12733592</v>
      </c>
      <c r="J26" s="125">
        <f>13678165</f>
        <v>13678165</v>
      </c>
      <c r="K26" s="125">
        <f>15290140</f>
        <v>15290140</v>
      </c>
      <c r="L26" s="125">
        <f>18308109</f>
        <v>18308109</v>
      </c>
      <c r="M26" s="125">
        <f>21445489</f>
        <v>21445489</v>
      </c>
      <c r="N26" s="126">
        <f>20811699</f>
        <v>20811699</v>
      </c>
      <c r="O26" s="126">
        <f>0</f>
        <v>0</v>
      </c>
      <c r="P26" s="126">
        <f>0</f>
        <v>0</v>
      </c>
      <c r="Q26" s="126">
        <f>0</f>
        <v>0</v>
      </c>
      <c r="R26" s="126">
        <f>0</f>
        <v>0</v>
      </c>
      <c r="S26" s="126">
        <f>0</f>
        <v>0</v>
      </c>
      <c r="T26" s="126">
        <f>0</f>
        <v>0</v>
      </c>
      <c r="U26" s="126">
        <f>0</f>
        <v>0</v>
      </c>
      <c r="V26" s="127">
        <f>0</f>
        <v>0</v>
      </c>
      <c r="W26" s="127">
        <f>0</f>
        <v>0</v>
      </c>
      <c r="X26" s="127">
        <f>0</f>
        <v>0</v>
      </c>
      <c r="Y26" s="127">
        <f>0</f>
        <v>0</v>
      </c>
      <c r="Z26" s="127">
        <f>0</f>
        <v>0</v>
      </c>
      <c r="AA26" s="127">
        <f>0</f>
        <v>0</v>
      </c>
      <c r="AB26" s="127">
        <f>0</f>
        <v>0</v>
      </c>
      <c r="AC26" s="127">
        <f>0</f>
        <v>0</v>
      </c>
      <c r="AD26" s="127">
        <f>0</f>
        <v>0</v>
      </c>
      <c r="AE26" s="127">
        <f>0</f>
        <v>0</v>
      </c>
      <c r="AF26" s="127">
        <f>0</f>
        <v>0</v>
      </c>
      <c r="AG26" s="127">
        <f>0</f>
        <v>0</v>
      </c>
      <c r="AH26" s="127">
        <f>0</f>
        <v>0</v>
      </c>
    </row>
    <row r="27" spans="1:34" s="108" customFormat="1" ht="12">
      <c r="A27" s="157" t="s">
        <v>28</v>
      </c>
      <c r="B27" s="321" t="s">
        <v>29</v>
      </c>
      <c r="C27" s="322"/>
      <c r="D27" s="323"/>
      <c r="E27" s="124">
        <f>25977570.07</f>
        <v>25977570.07</v>
      </c>
      <c r="F27" s="125">
        <f>17330133</f>
        <v>17330133</v>
      </c>
      <c r="G27" s="125">
        <f>15185977</f>
        <v>15185977</v>
      </c>
      <c r="H27" s="125">
        <f>17639719</f>
        <v>17639719</v>
      </c>
      <c r="I27" s="125">
        <f>12733592</f>
        <v>12733592</v>
      </c>
      <c r="J27" s="125">
        <f>13678165</f>
        <v>13678165</v>
      </c>
      <c r="K27" s="125">
        <f>15290140</f>
        <v>15290140</v>
      </c>
      <c r="L27" s="125">
        <f>18308109</f>
        <v>18308109</v>
      </c>
      <c r="M27" s="125">
        <f>21445489</f>
        <v>21445489</v>
      </c>
      <c r="N27" s="126">
        <f>20811699</f>
        <v>20811699</v>
      </c>
      <c r="O27" s="126">
        <f>0</f>
        <v>0</v>
      </c>
      <c r="P27" s="126">
        <f>0</f>
        <v>0</v>
      </c>
      <c r="Q27" s="126">
        <f>0</f>
        <v>0</v>
      </c>
      <c r="R27" s="126">
        <f>0</f>
        <v>0</v>
      </c>
      <c r="S27" s="126">
        <f>0</f>
        <v>0</v>
      </c>
      <c r="T27" s="126">
        <f>0</f>
        <v>0</v>
      </c>
      <c r="U27" s="126">
        <f>0</f>
        <v>0</v>
      </c>
      <c r="V27" s="127">
        <f>0</f>
        <v>0</v>
      </c>
      <c r="W27" s="127">
        <f>0</f>
        <v>0</v>
      </c>
      <c r="X27" s="127">
        <f>0</f>
        <v>0</v>
      </c>
      <c r="Y27" s="127">
        <f>0</f>
        <v>0</v>
      </c>
      <c r="Z27" s="127">
        <f>0</f>
        <v>0</v>
      </c>
      <c r="AA27" s="127">
        <f>0</f>
        <v>0</v>
      </c>
      <c r="AB27" s="127">
        <f>0</f>
        <v>0</v>
      </c>
      <c r="AC27" s="127">
        <f>0</f>
        <v>0</v>
      </c>
      <c r="AD27" s="127">
        <f>0</f>
        <v>0</v>
      </c>
      <c r="AE27" s="127">
        <f>0</f>
        <v>0</v>
      </c>
      <c r="AF27" s="127">
        <f>0</f>
        <v>0</v>
      </c>
      <c r="AG27" s="127">
        <f>0</f>
        <v>0</v>
      </c>
      <c r="AH27" s="127">
        <f>0</f>
        <v>0</v>
      </c>
    </row>
    <row r="28" spans="1:34" s="108" customFormat="1" ht="12">
      <c r="A28" s="152" t="s">
        <v>2</v>
      </c>
      <c r="B28" s="153"/>
      <c r="C28" s="326" t="s">
        <v>30</v>
      </c>
      <c r="D28" s="327"/>
      <c r="E28" s="117">
        <f>0</f>
        <v>0</v>
      </c>
      <c r="F28" s="121">
        <f>0</f>
        <v>0</v>
      </c>
      <c r="G28" s="121">
        <f>0</f>
        <v>0</v>
      </c>
      <c r="H28" s="121">
        <f>0</f>
        <v>0</v>
      </c>
      <c r="I28" s="121">
        <f>0</f>
        <v>0</v>
      </c>
      <c r="J28" s="121">
        <f>0</f>
        <v>0</v>
      </c>
      <c r="K28" s="121">
        <f>0</f>
        <v>0</v>
      </c>
      <c r="L28" s="121">
        <f>0</f>
        <v>0</v>
      </c>
      <c r="M28" s="121">
        <f>0</f>
        <v>0</v>
      </c>
      <c r="N28" s="122">
        <f>0</f>
        <v>0</v>
      </c>
      <c r="O28" s="122">
        <f>0</f>
        <v>0</v>
      </c>
      <c r="P28" s="122">
        <f>0</f>
        <v>0</v>
      </c>
      <c r="Q28" s="122">
        <f>0</f>
        <v>0</v>
      </c>
      <c r="R28" s="122">
        <f>0</f>
        <v>0</v>
      </c>
      <c r="S28" s="122">
        <f>0</f>
        <v>0</v>
      </c>
      <c r="T28" s="122">
        <f>0</f>
        <v>0</v>
      </c>
      <c r="U28" s="122">
        <f>0</f>
        <v>0</v>
      </c>
      <c r="V28" s="123">
        <f>0</f>
        <v>0</v>
      </c>
      <c r="W28" s="123">
        <f>0</f>
        <v>0</v>
      </c>
      <c r="X28" s="123">
        <f>0</f>
        <v>0</v>
      </c>
      <c r="Y28" s="123">
        <f>0</f>
        <v>0</v>
      </c>
      <c r="Z28" s="123">
        <f>0</f>
        <v>0</v>
      </c>
      <c r="AA28" s="123">
        <f>0</f>
        <v>0</v>
      </c>
      <c r="AB28" s="123">
        <f>0</f>
        <v>0</v>
      </c>
      <c r="AC28" s="123">
        <f>0</f>
        <v>0</v>
      </c>
      <c r="AD28" s="123">
        <f>0</f>
        <v>0</v>
      </c>
      <c r="AE28" s="123">
        <f>0</f>
        <v>0</v>
      </c>
      <c r="AF28" s="123">
        <f>0</f>
        <v>0</v>
      </c>
      <c r="AG28" s="123">
        <f>0</f>
        <v>0</v>
      </c>
      <c r="AH28" s="123">
        <f>0</f>
        <v>0</v>
      </c>
    </row>
    <row r="29" spans="1:34" s="108" customFormat="1" ht="12">
      <c r="A29" s="157" t="s">
        <v>31</v>
      </c>
      <c r="B29" s="309" t="s">
        <v>32</v>
      </c>
      <c r="C29" s="310"/>
      <c r="D29" s="311"/>
      <c r="E29" s="124">
        <f>8800000</f>
        <v>8800000</v>
      </c>
      <c r="F29" s="125">
        <f>12700000</f>
        <v>12700000</v>
      </c>
      <c r="G29" s="125">
        <f>8000000</f>
        <v>8000000</v>
      </c>
      <c r="H29" s="125">
        <f>8000000</f>
        <v>8000000</v>
      </c>
      <c r="I29" s="125">
        <f>0</f>
        <v>0</v>
      </c>
      <c r="J29" s="125">
        <f>0</f>
        <v>0</v>
      </c>
      <c r="K29" s="125">
        <f>0</f>
        <v>0</v>
      </c>
      <c r="L29" s="125">
        <f>0</f>
        <v>0</v>
      </c>
      <c r="M29" s="125">
        <f>0</f>
        <v>0</v>
      </c>
      <c r="N29" s="126">
        <f>0</f>
        <v>0</v>
      </c>
      <c r="O29" s="126">
        <f>0</f>
        <v>0</v>
      </c>
      <c r="P29" s="126">
        <f>0</f>
        <v>0</v>
      </c>
      <c r="Q29" s="126">
        <f>0</f>
        <v>0</v>
      </c>
      <c r="R29" s="126">
        <f>0</f>
        <v>0</v>
      </c>
      <c r="S29" s="126">
        <f>0</f>
        <v>0</v>
      </c>
      <c r="T29" s="126">
        <f>0</f>
        <v>0</v>
      </c>
      <c r="U29" s="126">
        <f>0</f>
        <v>0</v>
      </c>
      <c r="V29" s="127">
        <f>0</f>
        <v>0</v>
      </c>
      <c r="W29" s="127">
        <f>0</f>
        <v>0</v>
      </c>
      <c r="X29" s="127">
        <f>0</f>
        <v>0</v>
      </c>
      <c r="Y29" s="127">
        <f>0</f>
        <v>0</v>
      </c>
      <c r="Z29" s="127">
        <f>0</f>
        <v>0</v>
      </c>
      <c r="AA29" s="127">
        <f>0</f>
        <v>0</v>
      </c>
      <c r="AB29" s="127">
        <f>0</f>
        <v>0</v>
      </c>
      <c r="AC29" s="127">
        <f>0</f>
        <v>0</v>
      </c>
      <c r="AD29" s="127">
        <f>0</f>
        <v>0</v>
      </c>
      <c r="AE29" s="127">
        <f>0</f>
        <v>0</v>
      </c>
      <c r="AF29" s="127">
        <f>0</f>
        <v>0</v>
      </c>
      <c r="AG29" s="127">
        <f>0</f>
        <v>0</v>
      </c>
      <c r="AH29" s="127">
        <f>0</f>
        <v>0</v>
      </c>
    </row>
    <row r="30" spans="1:34" s="108" customFormat="1" ht="12.75" thickBot="1">
      <c r="A30" s="160" t="s">
        <v>33</v>
      </c>
      <c r="B30" s="331" t="s">
        <v>51</v>
      </c>
      <c r="C30" s="332"/>
      <c r="D30" s="333"/>
      <c r="E30" s="128">
        <f>74056.26</f>
        <v>74056.26</v>
      </c>
      <c r="F30" s="129">
        <f>0</f>
        <v>0</v>
      </c>
      <c r="G30" s="129">
        <f>0</f>
        <v>0</v>
      </c>
      <c r="H30" s="129">
        <f>0</f>
        <v>0</v>
      </c>
      <c r="I30" s="129">
        <f>0</f>
        <v>0</v>
      </c>
      <c r="J30" s="129">
        <f>0</f>
        <v>0</v>
      </c>
      <c r="K30" s="129">
        <f>0</f>
        <v>0</v>
      </c>
      <c r="L30" s="129">
        <f>0</f>
        <v>0</v>
      </c>
      <c r="M30" s="129">
        <f>0</f>
        <v>0</v>
      </c>
      <c r="N30" s="130">
        <f>0</f>
        <v>0</v>
      </c>
      <c r="O30" s="130">
        <f>0</f>
        <v>0</v>
      </c>
      <c r="P30" s="130">
        <f>0</f>
        <v>0</v>
      </c>
      <c r="Q30" s="130">
        <f>0</f>
        <v>0</v>
      </c>
      <c r="R30" s="130">
        <f>0</f>
        <v>0</v>
      </c>
      <c r="S30" s="130">
        <f>0</f>
        <v>0</v>
      </c>
      <c r="T30" s="130">
        <f>0</f>
        <v>0</v>
      </c>
      <c r="U30" s="130">
        <f>0</f>
        <v>0</v>
      </c>
      <c r="V30" s="131">
        <f>0</f>
        <v>0</v>
      </c>
      <c r="W30" s="131">
        <f>0</f>
        <v>0</v>
      </c>
      <c r="X30" s="131">
        <f>0</f>
        <v>0</v>
      </c>
      <c r="Y30" s="131">
        <f>0</f>
        <v>0</v>
      </c>
      <c r="Z30" s="131">
        <f>0</f>
        <v>0</v>
      </c>
      <c r="AA30" s="131">
        <f>0</f>
        <v>0</v>
      </c>
      <c r="AB30" s="131">
        <f>0</f>
        <v>0</v>
      </c>
      <c r="AC30" s="131">
        <f>0</f>
        <v>0</v>
      </c>
      <c r="AD30" s="131">
        <f>0</f>
        <v>0</v>
      </c>
      <c r="AE30" s="131">
        <f>0</f>
        <v>0</v>
      </c>
      <c r="AF30" s="131">
        <f>0</f>
        <v>0</v>
      </c>
      <c r="AG30" s="131">
        <f>0</f>
        <v>0</v>
      </c>
      <c r="AH30" s="131">
        <f>0</f>
        <v>0</v>
      </c>
    </row>
    <row r="31" spans="1:34" s="108" customFormat="1" ht="12">
      <c r="A31" s="161" t="s">
        <v>34</v>
      </c>
      <c r="B31" s="336" t="s">
        <v>38</v>
      </c>
      <c r="C31" s="337"/>
      <c r="D31" s="338"/>
      <c r="E31" s="132">
        <f>32363333</f>
        <v>32363333</v>
      </c>
      <c r="F31" s="133">
        <f>38987907</f>
        <v>38987907</v>
      </c>
      <c r="G31" s="133">
        <f>40250095</f>
        <v>40250095</v>
      </c>
      <c r="H31" s="133">
        <f>41848405</f>
        <v>41848405</v>
      </c>
      <c r="I31" s="133">
        <f>35869148</f>
        <v>35869148</v>
      </c>
      <c r="J31" s="133">
        <f>29775601</f>
        <v>29775601</v>
      </c>
      <c r="K31" s="133">
        <f>23250885</f>
        <v>23250885</v>
      </c>
      <c r="L31" s="133">
        <f>16860885</f>
        <v>16860885</v>
      </c>
      <c r="M31" s="133">
        <f>10420885</f>
        <v>10420885</v>
      </c>
      <c r="N31" s="134">
        <f>0</f>
        <v>0</v>
      </c>
      <c r="O31" s="134">
        <f>0</f>
        <v>0</v>
      </c>
      <c r="P31" s="134">
        <f>0</f>
        <v>0</v>
      </c>
      <c r="Q31" s="134">
        <f>0</f>
        <v>0</v>
      </c>
      <c r="R31" s="134">
        <f>0</f>
        <v>0</v>
      </c>
      <c r="S31" s="134">
        <f>0</f>
        <v>0</v>
      </c>
      <c r="T31" s="134">
        <f>0</f>
        <v>0</v>
      </c>
      <c r="U31" s="134">
        <f>0</f>
        <v>0</v>
      </c>
      <c r="V31" s="135">
        <f>0</f>
        <v>0</v>
      </c>
      <c r="W31" s="135">
        <f>0</f>
        <v>0</v>
      </c>
      <c r="X31" s="135">
        <f>0</f>
        <v>0</v>
      </c>
      <c r="Y31" s="135">
        <f>0</f>
        <v>0</v>
      </c>
      <c r="Z31" s="135">
        <f>0</f>
        <v>0</v>
      </c>
      <c r="AA31" s="135">
        <f>0</f>
        <v>0</v>
      </c>
      <c r="AB31" s="135">
        <f>0</f>
        <v>0</v>
      </c>
      <c r="AC31" s="135">
        <f>0</f>
        <v>0</v>
      </c>
      <c r="AD31" s="135">
        <f>0</f>
        <v>0</v>
      </c>
      <c r="AE31" s="135">
        <f>0</f>
        <v>0</v>
      </c>
      <c r="AF31" s="135">
        <f>0</f>
        <v>0</v>
      </c>
      <c r="AG31" s="135">
        <f>0</f>
        <v>0</v>
      </c>
      <c r="AH31" s="135">
        <f>0</f>
        <v>0</v>
      </c>
    </row>
    <row r="32" spans="1:34" s="108" customFormat="1" ht="12">
      <c r="A32" s="152" t="s">
        <v>2</v>
      </c>
      <c r="B32" s="153"/>
      <c r="C32" s="334" t="s">
        <v>39</v>
      </c>
      <c r="D32" s="335"/>
      <c r="E32" s="117">
        <f>0</f>
        <v>0</v>
      </c>
      <c r="F32" s="121">
        <f>0</f>
        <v>0</v>
      </c>
      <c r="G32" s="121">
        <f>0</f>
        <v>0</v>
      </c>
      <c r="H32" s="121">
        <f>0</f>
        <v>0</v>
      </c>
      <c r="I32" s="121">
        <f>0</f>
        <v>0</v>
      </c>
      <c r="J32" s="121">
        <f>0</f>
        <v>0</v>
      </c>
      <c r="K32" s="121">
        <f>0</f>
        <v>0</v>
      </c>
      <c r="L32" s="121">
        <f>0</f>
        <v>0</v>
      </c>
      <c r="M32" s="121">
        <f>0</f>
        <v>0</v>
      </c>
      <c r="N32" s="122">
        <f>0</f>
        <v>0</v>
      </c>
      <c r="O32" s="122">
        <f>0</f>
        <v>0</v>
      </c>
      <c r="P32" s="122">
        <f>0</f>
        <v>0</v>
      </c>
      <c r="Q32" s="122">
        <f>0</f>
        <v>0</v>
      </c>
      <c r="R32" s="122">
        <f>0</f>
        <v>0</v>
      </c>
      <c r="S32" s="122">
        <f>0</f>
        <v>0</v>
      </c>
      <c r="T32" s="122">
        <f>0</f>
        <v>0</v>
      </c>
      <c r="U32" s="122">
        <f>0</f>
        <v>0</v>
      </c>
      <c r="V32" s="123">
        <f>0</f>
        <v>0</v>
      </c>
      <c r="W32" s="123">
        <f>0</f>
        <v>0</v>
      </c>
      <c r="X32" s="123">
        <f>0</f>
        <v>0</v>
      </c>
      <c r="Y32" s="123">
        <f>0</f>
        <v>0</v>
      </c>
      <c r="Z32" s="123">
        <f>0</f>
        <v>0</v>
      </c>
      <c r="AA32" s="123">
        <f>0</f>
        <v>0</v>
      </c>
      <c r="AB32" s="123">
        <f>0</f>
        <v>0</v>
      </c>
      <c r="AC32" s="123">
        <f>0</f>
        <v>0</v>
      </c>
      <c r="AD32" s="123">
        <f>0</f>
        <v>0</v>
      </c>
      <c r="AE32" s="123">
        <f>0</f>
        <v>0</v>
      </c>
      <c r="AF32" s="123">
        <f>0</f>
        <v>0</v>
      </c>
      <c r="AG32" s="123">
        <f>0</f>
        <v>0</v>
      </c>
      <c r="AH32" s="123">
        <f>0</f>
        <v>0</v>
      </c>
    </row>
    <row r="33" spans="1:34" s="108" customFormat="1" ht="12">
      <c r="A33" s="152" t="s">
        <v>4</v>
      </c>
      <c r="B33" s="153"/>
      <c r="C33" s="334" t="s">
        <v>40</v>
      </c>
      <c r="D33" s="335"/>
      <c r="E33" s="117">
        <f>0</f>
        <v>0</v>
      </c>
      <c r="F33" s="121">
        <f>0</f>
        <v>0</v>
      </c>
      <c r="G33" s="121">
        <f>0</f>
        <v>0</v>
      </c>
      <c r="H33" s="121">
        <f>0</f>
        <v>0</v>
      </c>
      <c r="I33" s="121">
        <f>0</f>
        <v>0</v>
      </c>
      <c r="J33" s="121">
        <f>0</f>
        <v>0</v>
      </c>
      <c r="K33" s="121">
        <f>0</f>
        <v>0</v>
      </c>
      <c r="L33" s="121">
        <f>0</f>
        <v>0</v>
      </c>
      <c r="M33" s="121">
        <f>0</f>
        <v>0</v>
      </c>
      <c r="N33" s="122">
        <f>0</f>
        <v>0</v>
      </c>
      <c r="O33" s="122">
        <f>0</f>
        <v>0</v>
      </c>
      <c r="P33" s="122">
        <f>0</f>
        <v>0</v>
      </c>
      <c r="Q33" s="122">
        <f>0</f>
        <v>0</v>
      </c>
      <c r="R33" s="122">
        <f>0</f>
        <v>0</v>
      </c>
      <c r="S33" s="122">
        <f>0</f>
        <v>0</v>
      </c>
      <c r="T33" s="122">
        <f>0</f>
        <v>0</v>
      </c>
      <c r="U33" s="122">
        <f>0</f>
        <v>0</v>
      </c>
      <c r="V33" s="123">
        <f>0</f>
        <v>0</v>
      </c>
      <c r="W33" s="123">
        <f>0</f>
        <v>0</v>
      </c>
      <c r="X33" s="123">
        <f>0</f>
        <v>0</v>
      </c>
      <c r="Y33" s="123">
        <f>0</f>
        <v>0</v>
      </c>
      <c r="Z33" s="123">
        <f>0</f>
        <v>0</v>
      </c>
      <c r="AA33" s="123">
        <f>0</f>
        <v>0</v>
      </c>
      <c r="AB33" s="123">
        <f>0</f>
        <v>0</v>
      </c>
      <c r="AC33" s="123">
        <f>0</f>
        <v>0</v>
      </c>
      <c r="AD33" s="123">
        <f>0</f>
        <v>0</v>
      </c>
      <c r="AE33" s="123">
        <f>0</f>
        <v>0</v>
      </c>
      <c r="AF33" s="123">
        <f>0</f>
        <v>0</v>
      </c>
      <c r="AG33" s="123">
        <f>0</f>
        <v>0</v>
      </c>
      <c r="AH33" s="123">
        <f>0</f>
        <v>0</v>
      </c>
    </row>
    <row r="34" spans="1:34" s="108" customFormat="1" ht="12.75" thickBot="1">
      <c r="A34" s="157" t="s">
        <v>35</v>
      </c>
      <c r="B34" s="309" t="s">
        <v>41</v>
      </c>
      <c r="C34" s="310"/>
      <c r="D34" s="311"/>
      <c r="E34" s="136">
        <f>0</f>
        <v>0</v>
      </c>
      <c r="F34" s="137">
        <f>0</f>
        <v>0</v>
      </c>
      <c r="G34" s="137">
        <f>0</f>
        <v>0</v>
      </c>
      <c r="H34" s="137">
        <f>0</f>
        <v>0</v>
      </c>
      <c r="I34" s="137">
        <f>0</f>
        <v>0</v>
      </c>
      <c r="J34" s="137">
        <f>0</f>
        <v>0</v>
      </c>
      <c r="K34" s="137">
        <f>0</f>
        <v>0</v>
      </c>
      <c r="L34" s="137">
        <f>0</f>
        <v>0</v>
      </c>
      <c r="M34" s="137">
        <f>0</f>
        <v>0</v>
      </c>
      <c r="N34" s="138">
        <f>0</f>
        <v>0</v>
      </c>
      <c r="O34" s="138">
        <f>0</f>
        <v>0</v>
      </c>
      <c r="P34" s="138">
        <f>0</f>
        <v>0</v>
      </c>
      <c r="Q34" s="138">
        <f>0</f>
        <v>0</v>
      </c>
      <c r="R34" s="138">
        <f>0</f>
        <v>0</v>
      </c>
      <c r="S34" s="138">
        <f>0</f>
        <v>0</v>
      </c>
      <c r="T34" s="138">
        <f>0</f>
        <v>0</v>
      </c>
      <c r="U34" s="138">
        <f>0</f>
        <v>0</v>
      </c>
      <c r="V34" s="139">
        <f>0</f>
        <v>0</v>
      </c>
      <c r="W34" s="139">
        <f>0</f>
        <v>0</v>
      </c>
      <c r="X34" s="139">
        <f>0</f>
        <v>0</v>
      </c>
      <c r="Y34" s="139">
        <f>0</f>
        <v>0</v>
      </c>
      <c r="Z34" s="139">
        <f>0</f>
        <v>0</v>
      </c>
      <c r="AA34" s="139">
        <f>0</f>
        <v>0</v>
      </c>
      <c r="AB34" s="139">
        <f>0</f>
        <v>0</v>
      </c>
      <c r="AC34" s="139">
        <f>0</f>
        <v>0</v>
      </c>
      <c r="AD34" s="139">
        <f>0</f>
        <v>0</v>
      </c>
      <c r="AE34" s="139">
        <f>0</f>
        <v>0</v>
      </c>
      <c r="AF34" s="139">
        <f>0</f>
        <v>0</v>
      </c>
      <c r="AG34" s="139">
        <f>0</f>
        <v>0</v>
      </c>
      <c r="AH34" s="139">
        <f>0</f>
        <v>0</v>
      </c>
    </row>
    <row r="35" spans="1:34" s="108" customFormat="1" ht="12">
      <c r="A35" s="157" t="s">
        <v>36</v>
      </c>
      <c r="B35" s="309" t="s">
        <v>67</v>
      </c>
      <c r="C35" s="310"/>
      <c r="D35" s="310"/>
      <c r="E35" s="140">
        <f aca="true" t="shared" si="0" ref="E35:AH35">+(E21+E13)/E6</f>
        <v>0.09559826452435531</v>
      </c>
      <c r="F35" s="140">
        <f t="shared" si="0"/>
        <v>0.09831082320738582</v>
      </c>
      <c r="G35" s="140">
        <f t="shared" si="0"/>
        <v>0.10937662817941105</v>
      </c>
      <c r="H35" s="140">
        <f t="shared" si="0"/>
        <v>0.10023927787709998</v>
      </c>
      <c r="I35" s="140">
        <f t="shared" si="0"/>
        <v>0.09066885216361564</v>
      </c>
      <c r="J35" s="140">
        <f t="shared" si="0"/>
        <v>0.08421276277222202</v>
      </c>
      <c r="K35" s="140">
        <f t="shared" si="0"/>
        <v>0.080616969107534</v>
      </c>
      <c r="L35" s="140">
        <f t="shared" si="0"/>
        <v>0.07111927285689468</v>
      </c>
      <c r="M35" s="140">
        <f t="shared" si="0"/>
        <v>0.06410476338233967</v>
      </c>
      <c r="N35" s="140">
        <f t="shared" si="0"/>
        <v>0.09642236910584712</v>
      </c>
      <c r="O35" s="141" t="e">
        <f t="shared" si="0"/>
        <v>#DIV/0!</v>
      </c>
      <c r="P35" s="141" t="e">
        <f t="shared" si="0"/>
        <v>#DIV/0!</v>
      </c>
      <c r="Q35" s="141" t="e">
        <f t="shared" si="0"/>
        <v>#DIV/0!</v>
      </c>
      <c r="R35" s="141" t="e">
        <f t="shared" si="0"/>
        <v>#DIV/0!</v>
      </c>
      <c r="S35" s="141" t="e">
        <f t="shared" si="0"/>
        <v>#DIV/0!</v>
      </c>
      <c r="T35" s="141" t="e">
        <f t="shared" si="0"/>
        <v>#DIV/0!</v>
      </c>
      <c r="U35" s="141" t="e">
        <f t="shared" si="0"/>
        <v>#DIV/0!</v>
      </c>
      <c r="V35" s="141" t="e">
        <f t="shared" si="0"/>
        <v>#DIV/0!</v>
      </c>
      <c r="W35" s="141" t="e">
        <f t="shared" si="0"/>
        <v>#DIV/0!</v>
      </c>
      <c r="X35" s="141" t="e">
        <f t="shared" si="0"/>
        <v>#DIV/0!</v>
      </c>
      <c r="Y35" s="141" t="e">
        <f t="shared" si="0"/>
        <v>#DIV/0!</v>
      </c>
      <c r="Z35" s="141" t="e">
        <f t="shared" si="0"/>
        <v>#DIV/0!</v>
      </c>
      <c r="AA35" s="141" t="e">
        <f t="shared" si="0"/>
        <v>#DIV/0!</v>
      </c>
      <c r="AB35" s="141" t="e">
        <f t="shared" si="0"/>
        <v>#DIV/0!</v>
      </c>
      <c r="AC35" s="141" t="e">
        <f t="shared" si="0"/>
        <v>#DIV/0!</v>
      </c>
      <c r="AD35" s="141" t="e">
        <f t="shared" si="0"/>
        <v>#DIV/0!</v>
      </c>
      <c r="AE35" s="141" t="e">
        <f t="shared" si="0"/>
        <v>#DIV/0!</v>
      </c>
      <c r="AF35" s="141" t="e">
        <f t="shared" si="0"/>
        <v>#DIV/0!</v>
      </c>
      <c r="AG35" s="141" t="e">
        <f t="shared" si="0"/>
        <v>#DIV/0!</v>
      </c>
      <c r="AH35" s="142" t="e">
        <f t="shared" si="0"/>
        <v>#DIV/0!</v>
      </c>
    </row>
    <row r="36" spans="1:34" s="108" customFormat="1" ht="12">
      <c r="A36" s="157" t="s">
        <v>2</v>
      </c>
      <c r="B36" s="339" t="s">
        <v>161</v>
      </c>
      <c r="C36" s="340"/>
      <c r="D36" s="341"/>
      <c r="E36" s="141">
        <f aca="true" t="shared" si="1" ref="E36:AH36">+(E43+E9)/E6</f>
        <v>0.10763744378315875</v>
      </c>
      <c r="F36" s="141">
        <f t="shared" si="1"/>
        <v>0.19941619304930666</v>
      </c>
      <c r="G36" s="141">
        <f t="shared" si="1"/>
        <v>0.1714007443243047</v>
      </c>
      <c r="H36" s="141">
        <f t="shared" si="1"/>
        <v>0.18643557643553912</v>
      </c>
      <c r="I36" s="141">
        <f t="shared" si="1"/>
        <v>0.20445983680077093</v>
      </c>
      <c r="J36" s="141">
        <f t="shared" si="1"/>
        <v>0.20704639883975254</v>
      </c>
      <c r="K36" s="141">
        <f t="shared" si="1"/>
        <v>0.21691937335571743</v>
      </c>
      <c r="L36" s="141">
        <f t="shared" si="1"/>
        <v>0.23169368792461412</v>
      </c>
      <c r="M36" s="141">
        <f t="shared" si="1"/>
        <v>0.2466400296567826</v>
      </c>
      <c r="N36" s="141">
        <f t="shared" si="1"/>
        <v>0.27097357919849185</v>
      </c>
      <c r="O36" s="141" t="e">
        <f t="shared" si="1"/>
        <v>#DIV/0!</v>
      </c>
      <c r="P36" s="141" t="e">
        <f t="shared" si="1"/>
        <v>#DIV/0!</v>
      </c>
      <c r="Q36" s="141" t="e">
        <f t="shared" si="1"/>
        <v>#DIV/0!</v>
      </c>
      <c r="R36" s="141" t="e">
        <f t="shared" si="1"/>
        <v>#DIV/0!</v>
      </c>
      <c r="S36" s="141" t="e">
        <f t="shared" si="1"/>
        <v>#DIV/0!</v>
      </c>
      <c r="T36" s="141" t="e">
        <f t="shared" si="1"/>
        <v>#DIV/0!</v>
      </c>
      <c r="U36" s="141" t="e">
        <f t="shared" si="1"/>
        <v>#DIV/0!</v>
      </c>
      <c r="V36" s="141" t="e">
        <f t="shared" si="1"/>
        <v>#DIV/0!</v>
      </c>
      <c r="W36" s="141" t="e">
        <f t="shared" si="1"/>
        <v>#DIV/0!</v>
      </c>
      <c r="X36" s="141" t="e">
        <f t="shared" si="1"/>
        <v>#DIV/0!</v>
      </c>
      <c r="Y36" s="141" t="e">
        <f t="shared" si="1"/>
        <v>#DIV/0!</v>
      </c>
      <c r="Z36" s="141" t="e">
        <f t="shared" si="1"/>
        <v>#DIV/0!</v>
      </c>
      <c r="AA36" s="141" t="e">
        <f t="shared" si="1"/>
        <v>#DIV/0!</v>
      </c>
      <c r="AB36" s="141" t="e">
        <f t="shared" si="1"/>
        <v>#DIV/0!</v>
      </c>
      <c r="AC36" s="141" t="e">
        <f t="shared" si="1"/>
        <v>#DIV/0!</v>
      </c>
      <c r="AD36" s="141" t="e">
        <f t="shared" si="1"/>
        <v>#DIV/0!</v>
      </c>
      <c r="AE36" s="141" t="e">
        <f t="shared" si="1"/>
        <v>#DIV/0!</v>
      </c>
      <c r="AF36" s="141" t="e">
        <f t="shared" si="1"/>
        <v>#DIV/0!</v>
      </c>
      <c r="AG36" s="141" t="e">
        <f t="shared" si="1"/>
        <v>#DIV/0!</v>
      </c>
      <c r="AH36" s="142" t="e">
        <f t="shared" si="1"/>
        <v>#DIV/0!</v>
      </c>
    </row>
    <row r="37" spans="1:34" s="108" customFormat="1" ht="12">
      <c r="A37" s="157" t="s">
        <v>4</v>
      </c>
      <c r="B37" s="309" t="s">
        <v>94</v>
      </c>
      <c r="C37" s="310"/>
      <c r="D37" s="311"/>
      <c r="E37" s="110">
        <f>0.2897</f>
        <v>0.2897</v>
      </c>
      <c r="F37" s="110">
        <f>0.2107</f>
        <v>0.2107</v>
      </c>
      <c r="G37" s="110">
        <f>0.1421</f>
        <v>0.1421</v>
      </c>
      <c r="H37" s="141">
        <f aca="true" t="shared" si="2" ref="H37:AG37">+(E36+F36+G36)/3</f>
        <v>0.15948479371892335</v>
      </c>
      <c r="I37" s="141">
        <f t="shared" si="2"/>
        <v>0.18575083793638347</v>
      </c>
      <c r="J37" s="141">
        <f t="shared" si="2"/>
        <v>0.18743205252020492</v>
      </c>
      <c r="K37" s="141">
        <f t="shared" si="2"/>
        <v>0.19931393735868752</v>
      </c>
      <c r="L37" s="141">
        <f t="shared" si="2"/>
        <v>0.20947520299874697</v>
      </c>
      <c r="M37" s="141">
        <f t="shared" si="2"/>
        <v>0.21855315337336134</v>
      </c>
      <c r="N37" s="141">
        <f t="shared" si="2"/>
        <v>0.2317510303123714</v>
      </c>
      <c r="O37" s="141">
        <f t="shared" si="2"/>
        <v>0.24976909892662955</v>
      </c>
      <c r="P37" s="141" t="e">
        <f t="shared" si="2"/>
        <v>#DIV/0!</v>
      </c>
      <c r="Q37" s="141" t="e">
        <f t="shared" si="2"/>
        <v>#DIV/0!</v>
      </c>
      <c r="R37" s="141" t="e">
        <f t="shared" si="2"/>
        <v>#DIV/0!</v>
      </c>
      <c r="S37" s="141" t="e">
        <f t="shared" si="2"/>
        <v>#DIV/0!</v>
      </c>
      <c r="T37" s="141" t="e">
        <f t="shared" si="2"/>
        <v>#DIV/0!</v>
      </c>
      <c r="U37" s="141" t="e">
        <f t="shared" si="2"/>
        <v>#DIV/0!</v>
      </c>
      <c r="V37" s="141" t="e">
        <f t="shared" si="2"/>
        <v>#DIV/0!</v>
      </c>
      <c r="W37" s="141" t="e">
        <f t="shared" si="2"/>
        <v>#DIV/0!</v>
      </c>
      <c r="X37" s="141" t="e">
        <f t="shared" si="2"/>
        <v>#DIV/0!</v>
      </c>
      <c r="Y37" s="141" t="e">
        <f t="shared" si="2"/>
        <v>#DIV/0!</v>
      </c>
      <c r="Z37" s="141" t="e">
        <f t="shared" si="2"/>
        <v>#DIV/0!</v>
      </c>
      <c r="AA37" s="141" t="e">
        <f t="shared" si="2"/>
        <v>#DIV/0!</v>
      </c>
      <c r="AB37" s="141" t="e">
        <f t="shared" si="2"/>
        <v>#DIV/0!</v>
      </c>
      <c r="AC37" s="141" t="e">
        <f t="shared" si="2"/>
        <v>#DIV/0!</v>
      </c>
      <c r="AD37" s="141" t="e">
        <f t="shared" si="2"/>
        <v>#DIV/0!</v>
      </c>
      <c r="AE37" s="141" t="e">
        <f t="shared" si="2"/>
        <v>#DIV/0!</v>
      </c>
      <c r="AF37" s="141" t="e">
        <f t="shared" si="2"/>
        <v>#DIV/0!</v>
      </c>
      <c r="AG37" s="141" t="e">
        <f t="shared" si="2"/>
        <v>#DIV/0!</v>
      </c>
      <c r="AH37" s="142" t="e">
        <f>+(#REF!+#REF!+#REF!)/3</f>
        <v>#REF!</v>
      </c>
    </row>
    <row r="38" spans="1:34" s="108" customFormat="1" ht="12">
      <c r="A38" s="157" t="s">
        <v>37</v>
      </c>
      <c r="B38" s="309" t="s">
        <v>42</v>
      </c>
      <c r="C38" s="310"/>
      <c r="D38" s="311"/>
      <c r="E38" s="143" t="str">
        <f>IF(E35&lt;=E37,"Spełnia  art. 243","Nie spełnia art. 243")</f>
        <v>Spełnia  art. 243</v>
      </c>
      <c r="F38" s="143" t="str">
        <f>IF(F35&lt;=F37,"Spełnia  art. 243","Nie spełnia art. 243")</f>
        <v>Spełnia  art. 243</v>
      </c>
      <c r="G38" s="143" t="str">
        <f>IF(G35&lt;=G37,"Spełnia  art. 243","Nie spełnia art. 243")</f>
        <v>Spełnia  art. 243</v>
      </c>
      <c r="H38" s="143" t="str">
        <f>IF(H35&lt;=H37,"Spełnia  art. 243","Nie spełnia art. 243")</f>
        <v>Spełnia  art. 243</v>
      </c>
      <c r="I38" s="143" t="str">
        <f aca="true" t="shared" si="3" ref="I38:AH38">IF(I35&lt;=I37,"Spełnia  art. 243","Nie spełnia art. 243")</f>
        <v>Spełnia  art. 243</v>
      </c>
      <c r="J38" s="143" t="str">
        <f t="shared" si="3"/>
        <v>Spełnia  art. 243</v>
      </c>
      <c r="K38" s="143" t="str">
        <f t="shared" si="3"/>
        <v>Spełnia  art. 243</v>
      </c>
      <c r="L38" s="143" t="str">
        <f t="shared" si="3"/>
        <v>Spełnia  art. 243</v>
      </c>
      <c r="M38" s="143" t="str">
        <f t="shared" si="3"/>
        <v>Spełnia  art. 243</v>
      </c>
      <c r="N38" s="143" t="str">
        <f t="shared" si="3"/>
        <v>Spełnia  art. 243</v>
      </c>
      <c r="O38" s="143" t="e">
        <f t="shared" si="3"/>
        <v>#DIV/0!</v>
      </c>
      <c r="P38" s="143" t="e">
        <f t="shared" si="3"/>
        <v>#DIV/0!</v>
      </c>
      <c r="Q38" s="143" t="e">
        <f t="shared" si="3"/>
        <v>#DIV/0!</v>
      </c>
      <c r="R38" s="143" t="e">
        <f t="shared" si="3"/>
        <v>#DIV/0!</v>
      </c>
      <c r="S38" s="143" t="e">
        <f t="shared" si="3"/>
        <v>#DIV/0!</v>
      </c>
      <c r="T38" s="143" t="e">
        <f t="shared" si="3"/>
        <v>#DIV/0!</v>
      </c>
      <c r="U38" s="143" t="e">
        <f t="shared" si="3"/>
        <v>#DIV/0!</v>
      </c>
      <c r="V38" s="143" t="e">
        <f t="shared" si="3"/>
        <v>#DIV/0!</v>
      </c>
      <c r="W38" s="143" t="e">
        <f t="shared" si="3"/>
        <v>#DIV/0!</v>
      </c>
      <c r="X38" s="143" t="e">
        <f t="shared" si="3"/>
        <v>#DIV/0!</v>
      </c>
      <c r="Y38" s="143" t="e">
        <f t="shared" si="3"/>
        <v>#DIV/0!</v>
      </c>
      <c r="Z38" s="143" t="e">
        <f t="shared" si="3"/>
        <v>#DIV/0!</v>
      </c>
      <c r="AA38" s="143" t="e">
        <f t="shared" si="3"/>
        <v>#DIV/0!</v>
      </c>
      <c r="AB38" s="143" t="e">
        <f t="shared" si="3"/>
        <v>#DIV/0!</v>
      </c>
      <c r="AC38" s="143" t="e">
        <f t="shared" si="3"/>
        <v>#DIV/0!</v>
      </c>
      <c r="AD38" s="143" t="e">
        <f t="shared" si="3"/>
        <v>#DIV/0!</v>
      </c>
      <c r="AE38" s="143" t="e">
        <f t="shared" si="3"/>
        <v>#DIV/0!</v>
      </c>
      <c r="AF38" s="143" t="e">
        <f t="shared" si="3"/>
        <v>#DIV/0!</v>
      </c>
      <c r="AG38" s="143" t="e">
        <f t="shared" si="3"/>
        <v>#DIV/0!</v>
      </c>
      <c r="AH38" s="144" t="e">
        <f t="shared" si="3"/>
        <v>#DIV/0!</v>
      </c>
    </row>
    <row r="39" spans="1:34" s="108" customFormat="1" ht="12">
      <c r="A39" s="157" t="s">
        <v>43</v>
      </c>
      <c r="B39" s="309" t="s">
        <v>55</v>
      </c>
      <c r="C39" s="310"/>
      <c r="D39" s="311"/>
      <c r="E39" s="141">
        <f>+(E21+E13-E14-E33)/E6</f>
        <v>0.09559826452435531</v>
      </c>
      <c r="F39" s="141">
        <f>+(F21+F13-F14-F33)/F6</f>
        <v>0.09831082320738582</v>
      </c>
      <c r="G39" s="141">
        <f>+(G21+G13-G14-G33)/G6</f>
        <v>0.10937662817941105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2"/>
    </row>
    <row r="40" spans="1:34" s="108" customFormat="1" ht="12.75" thickBot="1">
      <c r="A40" s="162" t="s">
        <v>44</v>
      </c>
      <c r="B40" s="328" t="s">
        <v>56</v>
      </c>
      <c r="C40" s="329"/>
      <c r="D40" s="330"/>
      <c r="E40" s="8">
        <f aca="true" t="shared" si="4" ref="E40:AH40">+(E31-E32)/E6</f>
        <v>0.41019123551348213</v>
      </c>
      <c r="F40" s="8">
        <f t="shared" si="4"/>
        <v>0.48168269819181736</v>
      </c>
      <c r="G40" s="8">
        <f t="shared" si="4"/>
        <v>0.49547549464617524</v>
      </c>
      <c r="H40" s="8">
        <f t="shared" si="4"/>
        <v>0.4863682179715571</v>
      </c>
      <c r="I40" s="8">
        <f t="shared" si="4"/>
        <v>0.39191253807812476</v>
      </c>
      <c r="J40" s="8">
        <f t="shared" si="4"/>
        <v>0.31180562210997886</v>
      </c>
      <c r="K40" s="8">
        <f t="shared" si="4"/>
        <v>0.2311987484201523</v>
      </c>
      <c r="L40" s="8">
        <f t="shared" si="4"/>
        <v>0.15817245876284727</v>
      </c>
      <c r="M40" s="8">
        <f t="shared" si="4"/>
        <v>0.09217006685627499</v>
      </c>
      <c r="N40" s="8">
        <f t="shared" si="4"/>
        <v>0</v>
      </c>
      <c r="O40" s="8" t="e">
        <f t="shared" si="4"/>
        <v>#DIV/0!</v>
      </c>
      <c r="P40" s="8" t="e">
        <f t="shared" si="4"/>
        <v>#DIV/0!</v>
      </c>
      <c r="Q40" s="8" t="e">
        <f t="shared" si="4"/>
        <v>#DIV/0!</v>
      </c>
      <c r="R40" s="8" t="e">
        <f t="shared" si="4"/>
        <v>#DIV/0!</v>
      </c>
      <c r="S40" s="8" t="e">
        <f t="shared" si="4"/>
        <v>#DIV/0!</v>
      </c>
      <c r="T40" s="8" t="e">
        <f t="shared" si="4"/>
        <v>#DIV/0!</v>
      </c>
      <c r="U40" s="8" t="e">
        <f t="shared" si="4"/>
        <v>#DIV/0!</v>
      </c>
      <c r="V40" s="8" t="e">
        <f t="shared" si="4"/>
        <v>#DIV/0!</v>
      </c>
      <c r="W40" s="8" t="e">
        <f t="shared" si="4"/>
        <v>#DIV/0!</v>
      </c>
      <c r="X40" s="8" t="e">
        <f t="shared" si="4"/>
        <v>#DIV/0!</v>
      </c>
      <c r="Y40" s="8" t="e">
        <f t="shared" si="4"/>
        <v>#DIV/0!</v>
      </c>
      <c r="Z40" s="8" t="e">
        <f t="shared" si="4"/>
        <v>#DIV/0!</v>
      </c>
      <c r="AA40" s="8" t="e">
        <f t="shared" si="4"/>
        <v>#DIV/0!</v>
      </c>
      <c r="AB40" s="8" t="e">
        <f t="shared" si="4"/>
        <v>#DIV/0!</v>
      </c>
      <c r="AC40" s="8" t="e">
        <f t="shared" si="4"/>
        <v>#DIV/0!</v>
      </c>
      <c r="AD40" s="8" t="e">
        <f t="shared" si="4"/>
        <v>#DIV/0!</v>
      </c>
      <c r="AE40" s="8" t="e">
        <f t="shared" si="4"/>
        <v>#DIV/0!</v>
      </c>
      <c r="AF40" s="8" t="e">
        <f t="shared" si="4"/>
        <v>#DIV/0!</v>
      </c>
      <c r="AG40" s="8" t="e">
        <f t="shared" si="4"/>
        <v>#DIV/0!</v>
      </c>
      <c r="AH40" s="9" t="e">
        <f t="shared" si="4"/>
        <v>#DIV/0!</v>
      </c>
    </row>
    <row r="41" spans="1:34" s="108" customFormat="1" ht="12">
      <c r="A41" s="163" t="s">
        <v>45</v>
      </c>
      <c r="B41" s="344" t="s">
        <v>82</v>
      </c>
      <c r="C41" s="345"/>
      <c r="D41" s="346"/>
      <c r="E41" s="164">
        <f aca="true" t="shared" si="5" ref="E41:AH41">+E7</f>
        <v>71427558.22000001</v>
      </c>
      <c r="F41" s="164">
        <f t="shared" si="5"/>
        <v>80921057.56</v>
      </c>
      <c r="G41" s="164">
        <f t="shared" si="5"/>
        <v>81235289</v>
      </c>
      <c r="H41" s="164">
        <f t="shared" si="5"/>
        <v>86042639</v>
      </c>
      <c r="I41" s="164">
        <f t="shared" si="5"/>
        <v>91523349</v>
      </c>
      <c r="J41" s="164">
        <f t="shared" si="5"/>
        <v>95494112</v>
      </c>
      <c r="K41" s="164">
        <f t="shared" si="5"/>
        <v>100566656</v>
      </c>
      <c r="L41" s="164">
        <f t="shared" si="5"/>
        <v>106598109</v>
      </c>
      <c r="M41" s="164">
        <f t="shared" si="5"/>
        <v>113061489</v>
      </c>
      <c r="N41" s="164">
        <f t="shared" si="5"/>
        <v>116815684</v>
      </c>
      <c r="O41" s="164">
        <f t="shared" si="5"/>
        <v>0</v>
      </c>
      <c r="P41" s="164">
        <f t="shared" si="5"/>
        <v>0</v>
      </c>
      <c r="Q41" s="164">
        <f t="shared" si="5"/>
        <v>0</v>
      </c>
      <c r="R41" s="164">
        <f t="shared" si="5"/>
        <v>0</v>
      </c>
      <c r="S41" s="164">
        <f t="shared" si="5"/>
        <v>0</v>
      </c>
      <c r="T41" s="164">
        <f t="shared" si="5"/>
        <v>0</v>
      </c>
      <c r="U41" s="164">
        <f t="shared" si="5"/>
        <v>0</v>
      </c>
      <c r="V41" s="164">
        <f t="shared" si="5"/>
        <v>0</v>
      </c>
      <c r="W41" s="164">
        <f t="shared" si="5"/>
        <v>0</v>
      </c>
      <c r="X41" s="164">
        <f t="shared" si="5"/>
        <v>0</v>
      </c>
      <c r="Y41" s="164">
        <f t="shared" si="5"/>
        <v>0</v>
      </c>
      <c r="Z41" s="164">
        <f t="shared" si="5"/>
        <v>0</v>
      </c>
      <c r="AA41" s="164">
        <f t="shared" si="5"/>
        <v>0</v>
      </c>
      <c r="AB41" s="164">
        <f t="shared" si="5"/>
        <v>0</v>
      </c>
      <c r="AC41" s="164">
        <f t="shared" si="5"/>
        <v>0</v>
      </c>
      <c r="AD41" s="164">
        <f t="shared" si="5"/>
        <v>0</v>
      </c>
      <c r="AE41" s="164">
        <f t="shared" si="5"/>
        <v>0</v>
      </c>
      <c r="AF41" s="164">
        <f t="shared" si="5"/>
        <v>0</v>
      </c>
      <c r="AG41" s="164">
        <f t="shared" si="5"/>
        <v>0</v>
      </c>
      <c r="AH41" s="165">
        <f t="shared" si="5"/>
        <v>0</v>
      </c>
    </row>
    <row r="42" spans="1:34" s="108" customFormat="1" ht="12">
      <c r="A42" s="166" t="s">
        <v>46</v>
      </c>
      <c r="B42" s="304" t="s">
        <v>83</v>
      </c>
      <c r="C42" s="304"/>
      <c r="D42" s="305"/>
      <c r="E42" s="167">
        <f aca="true" t="shared" si="6" ref="E42:AH42">+E10+E24</f>
        <v>62935162.15</v>
      </c>
      <c r="F42" s="167">
        <f t="shared" si="6"/>
        <v>64800100</v>
      </c>
      <c r="G42" s="167">
        <f t="shared" si="6"/>
        <v>67311500</v>
      </c>
      <c r="H42" s="167">
        <f t="shared" si="6"/>
        <v>70001230</v>
      </c>
      <c r="I42" s="167">
        <f t="shared" si="6"/>
        <v>72810500</v>
      </c>
      <c r="J42" s="167">
        <f t="shared" si="6"/>
        <v>75722400</v>
      </c>
      <c r="K42" s="167">
        <f t="shared" si="6"/>
        <v>78751800</v>
      </c>
      <c r="L42" s="167">
        <f t="shared" si="6"/>
        <v>81900000</v>
      </c>
      <c r="M42" s="167">
        <f t="shared" si="6"/>
        <v>85176000</v>
      </c>
      <c r="N42" s="167">
        <f t="shared" si="6"/>
        <v>85161720</v>
      </c>
      <c r="O42" s="167">
        <f t="shared" si="6"/>
        <v>0</v>
      </c>
      <c r="P42" s="167">
        <f t="shared" si="6"/>
        <v>0</v>
      </c>
      <c r="Q42" s="167">
        <f t="shared" si="6"/>
        <v>0</v>
      </c>
      <c r="R42" s="167">
        <f t="shared" si="6"/>
        <v>0</v>
      </c>
      <c r="S42" s="167">
        <f t="shared" si="6"/>
        <v>0</v>
      </c>
      <c r="T42" s="167">
        <f t="shared" si="6"/>
        <v>0</v>
      </c>
      <c r="U42" s="167">
        <f t="shared" si="6"/>
        <v>0</v>
      </c>
      <c r="V42" s="167">
        <f t="shared" si="6"/>
        <v>0</v>
      </c>
      <c r="W42" s="167">
        <f t="shared" si="6"/>
        <v>0</v>
      </c>
      <c r="X42" s="167">
        <f t="shared" si="6"/>
        <v>0</v>
      </c>
      <c r="Y42" s="167">
        <f t="shared" si="6"/>
        <v>0</v>
      </c>
      <c r="Z42" s="167">
        <f t="shared" si="6"/>
        <v>0</v>
      </c>
      <c r="AA42" s="167">
        <f t="shared" si="6"/>
        <v>0</v>
      </c>
      <c r="AB42" s="167">
        <f t="shared" si="6"/>
        <v>0</v>
      </c>
      <c r="AC42" s="167">
        <f t="shared" si="6"/>
        <v>0</v>
      </c>
      <c r="AD42" s="167">
        <f t="shared" si="6"/>
        <v>0</v>
      </c>
      <c r="AE42" s="167">
        <f t="shared" si="6"/>
        <v>0</v>
      </c>
      <c r="AF42" s="167">
        <f t="shared" si="6"/>
        <v>0</v>
      </c>
      <c r="AG42" s="167">
        <f t="shared" si="6"/>
        <v>0</v>
      </c>
      <c r="AH42" s="168">
        <f t="shared" si="6"/>
        <v>0</v>
      </c>
    </row>
    <row r="43" spans="1:34" s="108" customFormat="1" ht="12">
      <c r="A43" s="169" t="s">
        <v>47</v>
      </c>
      <c r="B43" s="324" t="s">
        <v>93</v>
      </c>
      <c r="C43" s="324"/>
      <c r="D43" s="325"/>
      <c r="E43" s="170">
        <f aca="true" t="shared" si="7" ref="E43:AH43">+E41-E42</f>
        <v>8492396.070000015</v>
      </c>
      <c r="F43" s="170">
        <f t="shared" si="7"/>
        <v>16120957.560000002</v>
      </c>
      <c r="G43" s="170">
        <f t="shared" si="7"/>
        <v>13923789</v>
      </c>
      <c r="H43" s="170">
        <f t="shared" si="7"/>
        <v>16041409</v>
      </c>
      <c r="I43" s="170">
        <f t="shared" si="7"/>
        <v>18712849</v>
      </c>
      <c r="J43" s="170">
        <f t="shared" si="7"/>
        <v>19771712</v>
      </c>
      <c r="K43" s="170">
        <f t="shared" si="7"/>
        <v>21814856</v>
      </c>
      <c r="L43" s="170">
        <f t="shared" si="7"/>
        <v>24698109</v>
      </c>
      <c r="M43" s="170">
        <f t="shared" si="7"/>
        <v>27885489</v>
      </c>
      <c r="N43" s="170">
        <f t="shared" si="7"/>
        <v>31653964</v>
      </c>
      <c r="O43" s="170">
        <f t="shared" si="7"/>
        <v>0</v>
      </c>
      <c r="P43" s="170">
        <f t="shared" si="7"/>
        <v>0</v>
      </c>
      <c r="Q43" s="170">
        <f t="shared" si="7"/>
        <v>0</v>
      </c>
      <c r="R43" s="170">
        <f t="shared" si="7"/>
        <v>0</v>
      </c>
      <c r="S43" s="170">
        <f t="shared" si="7"/>
        <v>0</v>
      </c>
      <c r="T43" s="170">
        <f t="shared" si="7"/>
        <v>0</v>
      </c>
      <c r="U43" s="170">
        <f t="shared" si="7"/>
        <v>0</v>
      </c>
      <c r="V43" s="170">
        <f t="shared" si="7"/>
        <v>0</v>
      </c>
      <c r="W43" s="170">
        <f t="shared" si="7"/>
        <v>0</v>
      </c>
      <c r="X43" s="170">
        <f t="shared" si="7"/>
        <v>0</v>
      </c>
      <c r="Y43" s="170">
        <f t="shared" si="7"/>
        <v>0</v>
      </c>
      <c r="Z43" s="170">
        <f t="shared" si="7"/>
        <v>0</v>
      </c>
      <c r="AA43" s="170">
        <f t="shared" si="7"/>
        <v>0</v>
      </c>
      <c r="AB43" s="170">
        <f t="shared" si="7"/>
        <v>0</v>
      </c>
      <c r="AC43" s="170">
        <f t="shared" si="7"/>
        <v>0</v>
      </c>
      <c r="AD43" s="170">
        <f t="shared" si="7"/>
        <v>0</v>
      </c>
      <c r="AE43" s="170">
        <f t="shared" si="7"/>
        <v>0</v>
      </c>
      <c r="AF43" s="170">
        <f t="shared" si="7"/>
        <v>0</v>
      </c>
      <c r="AG43" s="170">
        <f t="shared" si="7"/>
        <v>0</v>
      </c>
      <c r="AH43" s="171">
        <f t="shared" si="7"/>
        <v>0</v>
      </c>
    </row>
    <row r="44" spans="1:34" s="108" customFormat="1" ht="12">
      <c r="A44" s="166" t="s">
        <v>58</v>
      </c>
      <c r="B44" s="342" t="s">
        <v>57</v>
      </c>
      <c r="C44" s="342"/>
      <c r="D44" s="343"/>
      <c r="E44" s="167">
        <f aca="true" t="shared" si="8" ref="E44:AH44">+IF(E43&lt;0,IF(-E43&gt;E17,"brak środków",-E43),0)</f>
        <v>0</v>
      </c>
      <c r="F44" s="167">
        <f t="shared" si="8"/>
        <v>0</v>
      </c>
      <c r="G44" s="167">
        <f t="shared" si="8"/>
        <v>0</v>
      </c>
      <c r="H44" s="167">
        <f t="shared" si="8"/>
        <v>0</v>
      </c>
      <c r="I44" s="167">
        <f t="shared" si="8"/>
        <v>0</v>
      </c>
      <c r="J44" s="167">
        <f t="shared" si="8"/>
        <v>0</v>
      </c>
      <c r="K44" s="167">
        <f t="shared" si="8"/>
        <v>0</v>
      </c>
      <c r="L44" s="167">
        <f t="shared" si="8"/>
        <v>0</v>
      </c>
      <c r="M44" s="167">
        <f t="shared" si="8"/>
        <v>0</v>
      </c>
      <c r="N44" s="167">
        <f t="shared" si="8"/>
        <v>0</v>
      </c>
      <c r="O44" s="167">
        <f t="shared" si="8"/>
        <v>0</v>
      </c>
      <c r="P44" s="167">
        <f t="shared" si="8"/>
        <v>0</v>
      </c>
      <c r="Q44" s="167">
        <f t="shared" si="8"/>
        <v>0</v>
      </c>
      <c r="R44" s="167">
        <f t="shared" si="8"/>
        <v>0</v>
      </c>
      <c r="S44" s="167">
        <f t="shared" si="8"/>
        <v>0</v>
      </c>
      <c r="T44" s="167">
        <f t="shared" si="8"/>
        <v>0</v>
      </c>
      <c r="U44" s="167">
        <f t="shared" si="8"/>
        <v>0</v>
      </c>
      <c r="V44" s="167">
        <f t="shared" si="8"/>
        <v>0</v>
      </c>
      <c r="W44" s="167">
        <f t="shared" si="8"/>
        <v>0</v>
      </c>
      <c r="X44" s="167">
        <f t="shared" si="8"/>
        <v>0</v>
      </c>
      <c r="Y44" s="167">
        <f t="shared" si="8"/>
        <v>0</v>
      </c>
      <c r="Z44" s="167">
        <f t="shared" si="8"/>
        <v>0</v>
      </c>
      <c r="AA44" s="167">
        <f t="shared" si="8"/>
        <v>0</v>
      </c>
      <c r="AB44" s="167">
        <f t="shared" si="8"/>
        <v>0</v>
      </c>
      <c r="AC44" s="167">
        <f t="shared" si="8"/>
        <v>0</v>
      </c>
      <c r="AD44" s="167">
        <f t="shared" si="8"/>
        <v>0</v>
      </c>
      <c r="AE44" s="167">
        <f t="shared" si="8"/>
        <v>0</v>
      </c>
      <c r="AF44" s="167">
        <f t="shared" si="8"/>
        <v>0</v>
      </c>
      <c r="AG44" s="167">
        <f t="shared" si="8"/>
        <v>0</v>
      </c>
      <c r="AH44" s="168">
        <f t="shared" si="8"/>
        <v>0</v>
      </c>
    </row>
    <row r="45" spans="1:34" s="108" customFormat="1" ht="12">
      <c r="A45" s="166" t="s">
        <v>48</v>
      </c>
      <c r="B45" s="304" t="s">
        <v>84</v>
      </c>
      <c r="C45" s="304"/>
      <c r="D45" s="305"/>
      <c r="E45" s="167">
        <f aca="true" t="shared" si="9" ref="E45:AH45">+E8</f>
        <v>7470600</v>
      </c>
      <c r="F45" s="167">
        <f t="shared" si="9"/>
        <v>0</v>
      </c>
      <c r="G45" s="167">
        <f t="shared" si="9"/>
        <v>0</v>
      </c>
      <c r="H45" s="167">
        <f t="shared" si="9"/>
        <v>0</v>
      </c>
      <c r="I45" s="167">
        <f t="shared" si="9"/>
        <v>0</v>
      </c>
      <c r="J45" s="167">
        <f t="shared" si="9"/>
        <v>0</v>
      </c>
      <c r="K45" s="167">
        <f t="shared" si="9"/>
        <v>0</v>
      </c>
      <c r="L45" s="167">
        <f t="shared" si="9"/>
        <v>0</v>
      </c>
      <c r="M45" s="167">
        <f t="shared" si="9"/>
        <v>0</v>
      </c>
      <c r="N45" s="167">
        <f t="shared" si="9"/>
        <v>0</v>
      </c>
      <c r="O45" s="167">
        <f t="shared" si="9"/>
        <v>0</v>
      </c>
      <c r="P45" s="167">
        <f t="shared" si="9"/>
        <v>0</v>
      </c>
      <c r="Q45" s="167">
        <f t="shared" si="9"/>
        <v>0</v>
      </c>
      <c r="R45" s="167">
        <f t="shared" si="9"/>
        <v>0</v>
      </c>
      <c r="S45" s="167">
        <f t="shared" si="9"/>
        <v>0</v>
      </c>
      <c r="T45" s="167">
        <f t="shared" si="9"/>
        <v>0</v>
      </c>
      <c r="U45" s="167">
        <f t="shared" si="9"/>
        <v>0</v>
      </c>
      <c r="V45" s="167">
        <f t="shared" si="9"/>
        <v>0</v>
      </c>
      <c r="W45" s="167">
        <f t="shared" si="9"/>
        <v>0</v>
      </c>
      <c r="X45" s="167">
        <f t="shared" si="9"/>
        <v>0</v>
      </c>
      <c r="Y45" s="167">
        <f t="shared" si="9"/>
        <v>0</v>
      </c>
      <c r="Z45" s="167">
        <f t="shared" si="9"/>
        <v>0</v>
      </c>
      <c r="AA45" s="167">
        <f t="shared" si="9"/>
        <v>0</v>
      </c>
      <c r="AB45" s="167">
        <f t="shared" si="9"/>
        <v>0</v>
      </c>
      <c r="AC45" s="167">
        <f t="shared" si="9"/>
        <v>0</v>
      </c>
      <c r="AD45" s="167">
        <f t="shared" si="9"/>
        <v>0</v>
      </c>
      <c r="AE45" s="167">
        <f t="shared" si="9"/>
        <v>0</v>
      </c>
      <c r="AF45" s="167">
        <f t="shared" si="9"/>
        <v>0</v>
      </c>
      <c r="AG45" s="167">
        <f t="shared" si="9"/>
        <v>0</v>
      </c>
      <c r="AH45" s="168">
        <f t="shared" si="9"/>
        <v>0</v>
      </c>
    </row>
    <row r="46" spans="1:34" s="108" customFormat="1" ht="12">
      <c r="A46" s="166" t="s">
        <v>49</v>
      </c>
      <c r="B46" s="304" t="s">
        <v>85</v>
      </c>
      <c r="C46" s="304"/>
      <c r="D46" s="305"/>
      <c r="E46" s="167">
        <f aca="true" t="shared" si="10" ref="E46:AH46">+E27</f>
        <v>25977570.07</v>
      </c>
      <c r="F46" s="167">
        <f t="shared" si="10"/>
        <v>17330133</v>
      </c>
      <c r="G46" s="167">
        <f t="shared" si="10"/>
        <v>15185977</v>
      </c>
      <c r="H46" s="167">
        <f t="shared" si="10"/>
        <v>17639719</v>
      </c>
      <c r="I46" s="167">
        <f t="shared" si="10"/>
        <v>12733592</v>
      </c>
      <c r="J46" s="167">
        <f t="shared" si="10"/>
        <v>13678165</v>
      </c>
      <c r="K46" s="167">
        <f t="shared" si="10"/>
        <v>15290140</v>
      </c>
      <c r="L46" s="167">
        <f t="shared" si="10"/>
        <v>18308109</v>
      </c>
      <c r="M46" s="167">
        <f t="shared" si="10"/>
        <v>21445489</v>
      </c>
      <c r="N46" s="167">
        <f t="shared" si="10"/>
        <v>20811699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167">
        <f t="shared" si="10"/>
        <v>0</v>
      </c>
      <c r="U46" s="167">
        <f t="shared" si="10"/>
        <v>0</v>
      </c>
      <c r="V46" s="167">
        <f t="shared" si="10"/>
        <v>0</v>
      </c>
      <c r="W46" s="167">
        <f t="shared" si="10"/>
        <v>0</v>
      </c>
      <c r="X46" s="167">
        <f t="shared" si="10"/>
        <v>0</v>
      </c>
      <c r="Y46" s="167">
        <f t="shared" si="10"/>
        <v>0</v>
      </c>
      <c r="Z46" s="167">
        <f t="shared" si="10"/>
        <v>0</v>
      </c>
      <c r="AA46" s="167">
        <f t="shared" si="10"/>
        <v>0</v>
      </c>
      <c r="AB46" s="167">
        <f t="shared" si="10"/>
        <v>0</v>
      </c>
      <c r="AC46" s="167">
        <f t="shared" si="10"/>
        <v>0</v>
      </c>
      <c r="AD46" s="167">
        <f t="shared" si="10"/>
        <v>0</v>
      </c>
      <c r="AE46" s="167">
        <f t="shared" si="10"/>
        <v>0</v>
      </c>
      <c r="AF46" s="167">
        <f t="shared" si="10"/>
        <v>0</v>
      </c>
      <c r="AG46" s="167">
        <f t="shared" si="10"/>
        <v>0</v>
      </c>
      <c r="AH46" s="168">
        <f t="shared" si="10"/>
        <v>0</v>
      </c>
    </row>
    <row r="47" spans="1:34" s="108" customFormat="1" ht="12">
      <c r="A47" s="169" t="s">
        <v>59</v>
      </c>
      <c r="B47" s="324" t="s">
        <v>65</v>
      </c>
      <c r="C47" s="324"/>
      <c r="D47" s="325"/>
      <c r="E47" s="170">
        <f aca="true" t="shared" si="11" ref="E47:AH47">+E45-E46</f>
        <v>-18506970.07</v>
      </c>
      <c r="F47" s="170">
        <f t="shared" si="11"/>
        <v>-17330133</v>
      </c>
      <c r="G47" s="170">
        <f t="shared" si="11"/>
        <v>-15185977</v>
      </c>
      <c r="H47" s="170">
        <f t="shared" si="11"/>
        <v>-17639719</v>
      </c>
      <c r="I47" s="170">
        <f t="shared" si="11"/>
        <v>-12733592</v>
      </c>
      <c r="J47" s="170">
        <f t="shared" si="11"/>
        <v>-13678165</v>
      </c>
      <c r="K47" s="170">
        <f t="shared" si="11"/>
        <v>-15290140</v>
      </c>
      <c r="L47" s="170">
        <f t="shared" si="11"/>
        <v>-18308109</v>
      </c>
      <c r="M47" s="170">
        <f t="shared" si="11"/>
        <v>-21445489</v>
      </c>
      <c r="N47" s="170">
        <f t="shared" si="11"/>
        <v>-20811699</v>
      </c>
      <c r="O47" s="170">
        <f t="shared" si="11"/>
        <v>0</v>
      </c>
      <c r="P47" s="170">
        <f t="shared" si="11"/>
        <v>0</v>
      </c>
      <c r="Q47" s="170">
        <f t="shared" si="11"/>
        <v>0</v>
      </c>
      <c r="R47" s="170">
        <f t="shared" si="11"/>
        <v>0</v>
      </c>
      <c r="S47" s="170">
        <f t="shared" si="11"/>
        <v>0</v>
      </c>
      <c r="T47" s="170">
        <f t="shared" si="11"/>
        <v>0</v>
      </c>
      <c r="U47" s="170">
        <f t="shared" si="11"/>
        <v>0</v>
      </c>
      <c r="V47" s="170">
        <f t="shared" si="11"/>
        <v>0</v>
      </c>
      <c r="W47" s="170">
        <f t="shared" si="11"/>
        <v>0</v>
      </c>
      <c r="X47" s="170">
        <f t="shared" si="11"/>
        <v>0</v>
      </c>
      <c r="Y47" s="170">
        <f t="shared" si="11"/>
        <v>0</v>
      </c>
      <c r="Z47" s="170">
        <f t="shared" si="11"/>
        <v>0</v>
      </c>
      <c r="AA47" s="170">
        <f t="shared" si="11"/>
        <v>0</v>
      </c>
      <c r="AB47" s="170">
        <f t="shared" si="11"/>
        <v>0</v>
      </c>
      <c r="AC47" s="170">
        <f t="shared" si="11"/>
        <v>0</v>
      </c>
      <c r="AD47" s="170">
        <f t="shared" si="11"/>
        <v>0</v>
      </c>
      <c r="AE47" s="170">
        <f t="shared" si="11"/>
        <v>0</v>
      </c>
      <c r="AF47" s="170">
        <f t="shared" si="11"/>
        <v>0</v>
      </c>
      <c r="AG47" s="170">
        <f t="shared" si="11"/>
        <v>0</v>
      </c>
      <c r="AH47" s="171">
        <f t="shared" si="11"/>
        <v>0</v>
      </c>
    </row>
    <row r="48" spans="1:34" s="108" customFormat="1" ht="12">
      <c r="A48" s="166" t="s">
        <v>60</v>
      </c>
      <c r="B48" s="174" t="s">
        <v>86</v>
      </c>
      <c r="C48" s="172"/>
      <c r="D48" s="173"/>
      <c r="E48" s="167">
        <f aca="true" t="shared" si="12" ref="E48:AH48">+E6</f>
        <v>78898158.22000001</v>
      </c>
      <c r="F48" s="167">
        <f t="shared" si="12"/>
        <v>80941057.56</v>
      </c>
      <c r="G48" s="167">
        <f t="shared" si="12"/>
        <v>81235289</v>
      </c>
      <c r="H48" s="167">
        <f t="shared" si="12"/>
        <v>86042639</v>
      </c>
      <c r="I48" s="167">
        <f t="shared" si="12"/>
        <v>91523349</v>
      </c>
      <c r="J48" s="167">
        <f t="shared" si="12"/>
        <v>95494112</v>
      </c>
      <c r="K48" s="167">
        <f t="shared" si="12"/>
        <v>100566656</v>
      </c>
      <c r="L48" s="167">
        <f t="shared" si="12"/>
        <v>106598109</v>
      </c>
      <c r="M48" s="167">
        <f t="shared" si="12"/>
        <v>113061489</v>
      </c>
      <c r="N48" s="167">
        <f t="shared" si="12"/>
        <v>116815684</v>
      </c>
      <c r="O48" s="167">
        <f t="shared" si="12"/>
        <v>0</v>
      </c>
      <c r="P48" s="167">
        <f t="shared" si="12"/>
        <v>0</v>
      </c>
      <c r="Q48" s="167">
        <f t="shared" si="12"/>
        <v>0</v>
      </c>
      <c r="R48" s="167">
        <f t="shared" si="12"/>
        <v>0</v>
      </c>
      <c r="S48" s="167">
        <f t="shared" si="12"/>
        <v>0</v>
      </c>
      <c r="T48" s="167">
        <f t="shared" si="12"/>
        <v>0</v>
      </c>
      <c r="U48" s="167">
        <f t="shared" si="12"/>
        <v>0</v>
      </c>
      <c r="V48" s="167">
        <f t="shared" si="12"/>
        <v>0</v>
      </c>
      <c r="W48" s="167">
        <f t="shared" si="12"/>
        <v>0</v>
      </c>
      <c r="X48" s="167">
        <f t="shared" si="12"/>
        <v>0</v>
      </c>
      <c r="Y48" s="167">
        <f t="shared" si="12"/>
        <v>0</v>
      </c>
      <c r="Z48" s="167">
        <f t="shared" si="12"/>
        <v>0</v>
      </c>
      <c r="AA48" s="167">
        <f t="shared" si="12"/>
        <v>0</v>
      </c>
      <c r="AB48" s="167">
        <f t="shared" si="12"/>
        <v>0</v>
      </c>
      <c r="AC48" s="167">
        <f t="shared" si="12"/>
        <v>0</v>
      </c>
      <c r="AD48" s="167">
        <f t="shared" si="12"/>
        <v>0</v>
      </c>
      <c r="AE48" s="167">
        <f t="shared" si="12"/>
        <v>0</v>
      </c>
      <c r="AF48" s="167">
        <f t="shared" si="12"/>
        <v>0</v>
      </c>
      <c r="AG48" s="167">
        <f t="shared" si="12"/>
        <v>0</v>
      </c>
      <c r="AH48" s="168">
        <f t="shared" si="12"/>
        <v>0</v>
      </c>
    </row>
    <row r="49" spans="1:34" s="108" customFormat="1" ht="12">
      <c r="A49" s="166" t="s">
        <v>61</v>
      </c>
      <c r="B49" s="304" t="s">
        <v>87</v>
      </c>
      <c r="C49" s="304"/>
      <c r="D49" s="305"/>
      <c r="E49" s="167">
        <f aca="true" t="shared" si="13" ref="E49:AH49">+E46+E42</f>
        <v>88912732.22</v>
      </c>
      <c r="F49" s="167">
        <f t="shared" si="13"/>
        <v>82130233</v>
      </c>
      <c r="G49" s="167">
        <f t="shared" si="13"/>
        <v>82497477</v>
      </c>
      <c r="H49" s="167">
        <f t="shared" si="13"/>
        <v>87640949</v>
      </c>
      <c r="I49" s="167">
        <f t="shared" si="13"/>
        <v>85544092</v>
      </c>
      <c r="J49" s="167">
        <f t="shared" si="13"/>
        <v>89400565</v>
      </c>
      <c r="K49" s="167">
        <f t="shared" si="13"/>
        <v>94041940</v>
      </c>
      <c r="L49" s="167">
        <f t="shared" si="13"/>
        <v>100208109</v>
      </c>
      <c r="M49" s="167">
        <f t="shared" si="13"/>
        <v>106621489</v>
      </c>
      <c r="N49" s="167">
        <f t="shared" si="13"/>
        <v>105973419</v>
      </c>
      <c r="O49" s="167">
        <f t="shared" si="13"/>
        <v>0</v>
      </c>
      <c r="P49" s="167">
        <f t="shared" si="13"/>
        <v>0</v>
      </c>
      <c r="Q49" s="167">
        <f t="shared" si="13"/>
        <v>0</v>
      </c>
      <c r="R49" s="167">
        <f t="shared" si="13"/>
        <v>0</v>
      </c>
      <c r="S49" s="167">
        <f t="shared" si="13"/>
        <v>0</v>
      </c>
      <c r="T49" s="167">
        <f t="shared" si="13"/>
        <v>0</v>
      </c>
      <c r="U49" s="167">
        <f t="shared" si="13"/>
        <v>0</v>
      </c>
      <c r="V49" s="167">
        <f t="shared" si="13"/>
        <v>0</v>
      </c>
      <c r="W49" s="167">
        <f t="shared" si="13"/>
        <v>0</v>
      </c>
      <c r="X49" s="167">
        <f t="shared" si="13"/>
        <v>0</v>
      </c>
      <c r="Y49" s="167">
        <f t="shared" si="13"/>
        <v>0</v>
      </c>
      <c r="Z49" s="167">
        <f t="shared" si="13"/>
        <v>0</v>
      </c>
      <c r="AA49" s="167">
        <f t="shared" si="13"/>
        <v>0</v>
      </c>
      <c r="AB49" s="167">
        <f t="shared" si="13"/>
        <v>0</v>
      </c>
      <c r="AC49" s="167">
        <f t="shared" si="13"/>
        <v>0</v>
      </c>
      <c r="AD49" s="167">
        <f t="shared" si="13"/>
        <v>0</v>
      </c>
      <c r="AE49" s="167">
        <f t="shared" si="13"/>
        <v>0</v>
      </c>
      <c r="AF49" s="167">
        <f t="shared" si="13"/>
        <v>0</v>
      </c>
      <c r="AG49" s="167">
        <f t="shared" si="13"/>
        <v>0</v>
      </c>
      <c r="AH49" s="168">
        <f t="shared" si="13"/>
        <v>0</v>
      </c>
    </row>
    <row r="50" spans="1:34" s="108" customFormat="1" ht="12">
      <c r="A50" s="169" t="s">
        <v>62</v>
      </c>
      <c r="B50" s="303" t="s">
        <v>66</v>
      </c>
      <c r="C50" s="303"/>
      <c r="D50" s="312"/>
      <c r="E50" s="170">
        <f aca="true" t="shared" si="14" ref="E50:AH50">+E48-E49</f>
        <v>-10014573.999999985</v>
      </c>
      <c r="F50" s="170">
        <f t="shared" si="14"/>
        <v>-1189175.4399999976</v>
      </c>
      <c r="G50" s="170">
        <f t="shared" si="14"/>
        <v>-1262188</v>
      </c>
      <c r="H50" s="170">
        <f t="shared" si="14"/>
        <v>-1598310</v>
      </c>
      <c r="I50" s="170">
        <f t="shared" si="14"/>
        <v>5979257</v>
      </c>
      <c r="J50" s="170">
        <f t="shared" si="14"/>
        <v>6093547</v>
      </c>
      <c r="K50" s="170">
        <f t="shared" si="14"/>
        <v>6524716</v>
      </c>
      <c r="L50" s="170">
        <f t="shared" si="14"/>
        <v>6390000</v>
      </c>
      <c r="M50" s="170">
        <f t="shared" si="14"/>
        <v>6440000</v>
      </c>
      <c r="N50" s="170">
        <f t="shared" si="14"/>
        <v>10842265</v>
      </c>
      <c r="O50" s="170">
        <f t="shared" si="14"/>
        <v>0</v>
      </c>
      <c r="P50" s="170">
        <f t="shared" si="14"/>
        <v>0</v>
      </c>
      <c r="Q50" s="170">
        <f t="shared" si="14"/>
        <v>0</v>
      </c>
      <c r="R50" s="170">
        <f t="shared" si="14"/>
        <v>0</v>
      </c>
      <c r="S50" s="170">
        <f t="shared" si="14"/>
        <v>0</v>
      </c>
      <c r="T50" s="170">
        <f t="shared" si="14"/>
        <v>0</v>
      </c>
      <c r="U50" s="170">
        <f t="shared" si="14"/>
        <v>0</v>
      </c>
      <c r="V50" s="170">
        <f t="shared" si="14"/>
        <v>0</v>
      </c>
      <c r="W50" s="170">
        <f t="shared" si="14"/>
        <v>0</v>
      </c>
      <c r="X50" s="170">
        <f t="shared" si="14"/>
        <v>0</v>
      </c>
      <c r="Y50" s="170">
        <f t="shared" si="14"/>
        <v>0</v>
      </c>
      <c r="Z50" s="170">
        <f t="shared" si="14"/>
        <v>0</v>
      </c>
      <c r="AA50" s="170">
        <f t="shared" si="14"/>
        <v>0</v>
      </c>
      <c r="AB50" s="170">
        <f t="shared" si="14"/>
        <v>0</v>
      </c>
      <c r="AC50" s="170">
        <f t="shared" si="14"/>
        <v>0</v>
      </c>
      <c r="AD50" s="170">
        <f t="shared" si="14"/>
        <v>0</v>
      </c>
      <c r="AE50" s="170">
        <f t="shared" si="14"/>
        <v>0</v>
      </c>
      <c r="AF50" s="170">
        <f t="shared" si="14"/>
        <v>0</v>
      </c>
      <c r="AG50" s="170">
        <f t="shared" si="14"/>
        <v>0</v>
      </c>
      <c r="AH50" s="171">
        <f t="shared" si="14"/>
        <v>0</v>
      </c>
    </row>
    <row r="51" spans="1:34" s="108" customFormat="1" ht="12">
      <c r="A51" s="166" t="s">
        <v>63</v>
      </c>
      <c r="B51" s="304" t="s">
        <v>88</v>
      </c>
      <c r="C51" s="304"/>
      <c r="D51" s="305"/>
      <c r="E51" s="167">
        <f aca="true" t="shared" si="15" ref="E51:AH51">+E17+E19+E29</f>
        <v>16300000</v>
      </c>
      <c r="F51" s="167">
        <f t="shared" si="15"/>
        <v>12700000</v>
      </c>
      <c r="G51" s="167">
        <f t="shared" si="15"/>
        <v>8000000</v>
      </c>
      <c r="H51" s="167">
        <f t="shared" si="15"/>
        <v>8000000</v>
      </c>
      <c r="I51" s="167">
        <f t="shared" si="15"/>
        <v>0</v>
      </c>
      <c r="J51" s="167">
        <f t="shared" si="15"/>
        <v>0</v>
      </c>
      <c r="K51" s="167">
        <f t="shared" si="15"/>
        <v>0</v>
      </c>
      <c r="L51" s="167">
        <f t="shared" si="15"/>
        <v>0</v>
      </c>
      <c r="M51" s="167">
        <f t="shared" si="15"/>
        <v>0</v>
      </c>
      <c r="N51" s="167">
        <f t="shared" si="15"/>
        <v>0</v>
      </c>
      <c r="O51" s="167">
        <f t="shared" si="15"/>
        <v>0</v>
      </c>
      <c r="P51" s="167">
        <f t="shared" si="15"/>
        <v>0</v>
      </c>
      <c r="Q51" s="167">
        <f t="shared" si="15"/>
        <v>0</v>
      </c>
      <c r="R51" s="167">
        <f t="shared" si="15"/>
        <v>0</v>
      </c>
      <c r="S51" s="167">
        <f t="shared" si="15"/>
        <v>0</v>
      </c>
      <c r="T51" s="167">
        <f t="shared" si="15"/>
        <v>0</v>
      </c>
      <c r="U51" s="167">
        <f t="shared" si="15"/>
        <v>0</v>
      </c>
      <c r="V51" s="167">
        <f t="shared" si="15"/>
        <v>0</v>
      </c>
      <c r="W51" s="167">
        <f t="shared" si="15"/>
        <v>0</v>
      </c>
      <c r="X51" s="167">
        <f t="shared" si="15"/>
        <v>0</v>
      </c>
      <c r="Y51" s="167">
        <f t="shared" si="15"/>
        <v>0</v>
      </c>
      <c r="Z51" s="167">
        <f t="shared" si="15"/>
        <v>0</v>
      </c>
      <c r="AA51" s="167">
        <f t="shared" si="15"/>
        <v>0</v>
      </c>
      <c r="AB51" s="167">
        <f t="shared" si="15"/>
        <v>0</v>
      </c>
      <c r="AC51" s="167">
        <f t="shared" si="15"/>
        <v>0</v>
      </c>
      <c r="AD51" s="167">
        <f t="shared" si="15"/>
        <v>0</v>
      </c>
      <c r="AE51" s="167">
        <f t="shared" si="15"/>
        <v>0</v>
      </c>
      <c r="AF51" s="167">
        <f t="shared" si="15"/>
        <v>0</v>
      </c>
      <c r="AG51" s="167">
        <f t="shared" si="15"/>
        <v>0</v>
      </c>
      <c r="AH51" s="168">
        <f t="shared" si="15"/>
        <v>0</v>
      </c>
    </row>
    <row r="52" spans="1:34" s="108" customFormat="1" ht="12.75" thickBot="1">
      <c r="A52" s="175" t="s">
        <v>64</v>
      </c>
      <c r="B52" s="301" t="s">
        <v>89</v>
      </c>
      <c r="C52" s="301"/>
      <c r="D52" s="302"/>
      <c r="E52" s="176">
        <f aca="true" t="shared" si="16" ref="E52:AH52">E22+E25</f>
        <v>6285426</v>
      </c>
      <c r="F52" s="176">
        <f t="shared" si="16"/>
        <v>6075426</v>
      </c>
      <c r="G52" s="176">
        <f t="shared" si="16"/>
        <v>6737812</v>
      </c>
      <c r="H52" s="176">
        <f t="shared" si="16"/>
        <v>6401690</v>
      </c>
      <c r="I52" s="176">
        <f t="shared" si="16"/>
        <v>5979257</v>
      </c>
      <c r="J52" s="176">
        <f t="shared" si="16"/>
        <v>6093547</v>
      </c>
      <c r="K52" s="176">
        <f t="shared" si="16"/>
        <v>6524716</v>
      </c>
      <c r="L52" s="176">
        <f t="shared" si="16"/>
        <v>6390000</v>
      </c>
      <c r="M52" s="176">
        <f t="shared" si="16"/>
        <v>6440000</v>
      </c>
      <c r="N52" s="176">
        <f t="shared" si="16"/>
        <v>10842265</v>
      </c>
      <c r="O52" s="176">
        <f t="shared" si="16"/>
        <v>0</v>
      </c>
      <c r="P52" s="176">
        <f t="shared" si="16"/>
        <v>0</v>
      </c>
      <c r="Q52" s="176">
        <f t="shared" si="16"/>
        <v>0</v>
      </c>
      <c r="R52" s="176">
        <f t="shared" si="16"/>
        <v>0</v>
      </c>
      <c r="S52" s="176">
        <f t="shared" si="16"/>
        <v>0</v>
      </c>
      <c r="T52" s="176">
        <f t="shared" si="16"/>
        <v>0</v>
      </c>
      <c r="U52" s="176">
        <f t="shared" si="16"/>
        <v>0</v>
      </c>
      <c r="V52" s="176">
        <f t="shared" si="16"/>
        <v>0</v>
      </c>
      <c r="W52" s="176">
        <f t="shared" si="16"/>
        <v>0</v>
      </c>
      <c r="X52" s="176">
        <f t="shared" si="16"/>
        <v>0</v>
      </c>
      <c r="Y52" s="176">
        <f t="shared" si="16"/>
        <v>0</v>
      </c>
      <c r="Z52" s="176">
        <f t="shared" si="16"/>
        <v>0</v>
      </c>
      <c r="AA52" s="176">
        <f t="shared" si="16"/>
        <v>0</v>
      </c>
      <c r="AB52" s="176">
        <f t="shared" si="16"/>
        <v>0</v>
      </c>
      <c r="AC52" s="176">
        <f t="shared" si="16"/>
        <v>0</v>
      </c>
      <c r="AD52" s="176">
        <f t="shared" si="16"/>
        <v>0</v>
      </c>
      <c r="AE52" s="176">
        <f t="shared" si="16"/>
        <v>0</v>
      </c>
      <c r="AF52" s="176">
        <f t="shared" si="16"/>
        <v>0</v>
      </c>
      <c r="AG52" s="176">
        <f t="shared" si="16"/>
        <v>0</v>
      </c>
      <c r="AH52" s="177">
        <f t="shared" si="16"/>
        <v>0</v>
      </c>
    </row>
    <row r="53" spans="1:34" ht="12.75">
      <c r="A53" s="16" t="s">
        <v>78</v>
      </c>
      <c r="B53" s="307" t="s">
        <v>92</v>
      </c>
      <c r="C53" s="307"/>
      <c r="D53" s="307"/>
      <c r="E53" s="182" t="str">
        <f aca="true" t="shared" si="17" ref="E53:AH53">+IF(E50&lt;0,IF(ROUND((E54+E55+E56+E57+E58+E59)+E50,4)=0,"","błąd"),"")</f>
        <v>błąd</v>
      </c>
      <c r="F53" s="182" t="str">
        <f>+IF(F50&lt;0,IF(ROUND((F54+F55+F56+F57+F58+F59)+F50,4)=0,"","błąd"),"")</f>
        <v>błąd</v>
      </c>
      <c r="G53" s="182" t="str">
        <f t="shared" si="17"/>
        <v>błąd</v>
      </c>
      <c r="H53" s="182" t="str">
        <f t="shared" si="17"/>
        <v>błąd</v>
      </c>
      <c r="I53" s="182">
        <f t="shared" si="17"/>
      </c>
      <c r="J53" s="182">
        <f t="shared" si="17"/>
      </c>
      <c r="K53" s="182">
        <f t="shared" si="17"/>
      </c>
      <c r="L53" s="182">
        <f t="shared" si="17"/>
      </c>
      <c r="M53" s="182">
        <f t="shared" si="17"/>
      </c>
      <c r="N53" s="182">
        <f t="shared" si="17"/>
      </c>
      <c r="O53" s="182">
        <f t="shared" si="17"/>
      </c>
      <c r="P53" s="182">
        <f t="shared" si="17"/>
      </c>
      <c r="Q53" s="182">
        <f t="shared" si="17"/>
      </c>
      <c r="R53" s="182">
        <f t="shared" si="17"/>
      </c>
      <c r="S53" s="182">
        <f t="shared" si="17"/>
      </c>
      <c r="T53" s="182">
        <f t="shared" si="17"/>
      </c>
      <c r="U53" s="182">
        <f t="shared" si="17"/>
      </c>
      <c r="V53" s="182">
        <f t="shared" si="17"/>
      </c>
      <c r="W53" s="182">
        <f t="shared" si="17"/>
      </c>
      <c r="X53" s="182">
        <f t="shared" si="17"/>
      </c>
      <c r="Y53" s="182">
        <f t="shared" si="17"/>
      </c>
      <c r="Z53" s="182">
        <f t="shared" si="17"/>
      </c>
      <c r="AA53" s="182">
        <f t="shared" si="17"/>
      </c>
      <c r="AB53" s="182">
        <f t="shared" si="17"/>
      </c>
      <c r="AC53" s="182">
        <f t="shared" si="17"/>
      </c>
      <c r="AD53" s="182">
        <f t="shared" si="17"/>
      </c>
      <c r="AE53" s="182">
        <f t="shared" si="17"/>
      </c>
      <c r="AF53" s="182">
        <f t="shared" si="17"/>
      </c>
      <c r="AG53" s="182">
        <f t="shared" si="17"/>
      </c>
      <c r="AH53" s="183">
        <f t="shared" si="17"/>
      </c>
    </row>
    <row r="54" spans="1:34" ht="12.75">
      <c r="A54" s="17" t="s">
        <v>2</v>
      </c>
      <c r="B54" s="308" t="s">
        <v>69</v>
      </c>
      <c r="C54" s="308"/>
      <c r="D54" s="308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5"/>
    </row>
    <row r="55" spans="1:34" ht="12.75">
      <c r="A55" s="17" t="s">
        <v>4</v>
      </c>
      <c r="B55" s="308" t="s">
        <v>70</v>
      </c>
      <c r="C55" s="308"/>
      <c r="D55" s="308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5"/>
    </row>
    <row r="56" spans="1:34" ht="12.75">
      <c r="A56" s="17" t="s">
        <v>11</v>
      </c>
      <c r="B56" s="308" t="s">
        <v>71</v>
      </c>
      <c r="C56" s="308"/>
      <c r="D56" s="308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5"/>
    </row>
    <row r="57" spans="1:34" ht="12.75">
      <c r="A57" s="17" t="s">
        <v>14</v>
      </c>
      <c r="B57" s="308" t="s">
        <v>72</v>
      </c>
      <c r="C57" s="308"/>
      <c r="D57" s="308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5"/>
    </row>
    <row r="58" spans="1:34" ht="12.75">
      <c r="A58" s="17" t="s">
        <v>50</v>
      </c>
      <c r="B58" s="308" t="s">
        <v>73</v>
      </c>
      <c r="C58" s="308"/>
      <c r="D58" s="308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5"/>
    </row>
    <row r="59" spans="1:34" ht="13.5" thickBot="1">
      <c r="A59" s="18" t="s">
        <v>74</v>
      </c>
      <c r="B59" s="317" t="s">
        <v>75</v>
      </c>
      <c r="C59" s="317"/>
      <c r="D59" s="317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7"/>
    </row>
    <row r="60" spans="1:34" ht="12">
      <c r="A60" s="21" t="s">
        <v>79</v>
      </c>
      <c r="B60" s="313" t="s">
        <v>76</v>
      </c>
      <c r="C60" s="313"/>
      <c r="D60" s="313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9"/>
    </row>
    <row r="61" spans="1:34" ht="12.75" thickBot="1">
      <c r="A61" s="19"/>
      <c r="B61" s="306" t="s">
        <v>77</v>
      </c>
      <c r="C61" s="306"/>
      <c r="D61" s="30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7"/>
    </row>
    <row r="62" ht="12"/>
    <row r="63" spans="3:34" ht="12">
      <c r="C63" s="104"/>
      <c r="D63" s="45" t="s">
        <v>157</v>
      </c>
      <c r="E63" s="105" t="s">
        <v>113</v>
      </c>
      <c r="F63" s="107" t="str">
        <f aca="true" t="shared" si="18" ref="F63:N63">IF(+ROUND((E31+F29-F22-F31),4)=0,"OK.",+(E31+F29-F22-F31))</f>
        <v>OK.</v>
      </c>
      <c r="G63" s="107" t="str">
        <f t="shared" si="18"/>
        <v>OK.</v>
      </c>
      <c r="H63" s="107" t="str">
        <f t="shared" si="18"/>
        <v>OK.</v>
      </c>
      <c r="I63" s="107" t="str">
        <f t="shared" si="18"/>
        <v>OK.</v>
      </c>
      <c r="J63" s="107" t="str">
        <f t="shared" si="18"/>
        <v>OK.</v>
      </c>
      <c r="K63" s="107" t="str">
        <f t="shared" si="18"/>
        <v>OK.</v>
      </c>
      <c r="L63" s="107" t="str">
        <f t="shared" si="18"/>
        <v>OK.</v>
      </c>
      <c r="M63" s="107" t="str">
        <f t="shared" si="18"/>
        <v>OK.</v>
      </c>
      <c r="N63" s="107">
        <f t="shared" si="18"/>
        <v>-421380</v>
      </c>
      <c r="O63" s="107" t="str">
        <f aca="true" t="shared" si="19" ref="O63:AH63">IF(+ROUND((N31+O29-O22-O31),4)=0,"OK.",+(N31+O29-O22-O31))</f>
        <v>OK.</v>
      </c>
      <c r="P63" s="107" t="str">
        <f t="shared" si="19"/>
        <v>OK.</v>
      </c>
      <c r="Q63" s="107" t="str">
        <f t="shared" si="19"/>
        <v>OK.</v>
      </c>
      <c r="R63" s="107" t="str">
        <f t="shared" si="19"/>
        <v>OK.</v>
      </c>
      <c r="S63" s="107" t="str">
        <f t="shared" si="19"/>
        <v>OK.</v>
      </c>
      <c r="T63" s="107" t="str">
        <f t="shared" si="19"/>
        <v>OK.</v>
      </c>
      <c r="U63" s="107" t="str">
        <f t="shared" si="19"/>
        <v>OK.</v>
      </c>
      <c r="V63" s="107" t="str">
        <f t="shared" si="19"/>
        <v>OK.</v>
      </c>
      <c r="W63" s="107" t="str">
        <f t="shared" si="19"/>
        <v>OK.</v>
      </c>
      <c r="X63" s="107" t="str">
        <f t="shared" si="19"/>
        <v>OK.</v>
      </c>
      <c r="Y63" s="107" t="str">
        <f t="shared" si="19"/>
        <v>OK.</v>
      </c>
      <c r="Z63" s="107" t="str">
        <f t="shared" si="19"/>
        <v>OK.</v>
      </c>
      <c r="AA63" s="107" t="str">
        <f t="shared" si="19"/>
        <v>OK.</v>
      </c>
      <c r="AB63" s="107" t="str">
        <f t="shared" si="19"/>
        <v>OK.</v>
      </c>
      <c r="AC63" s="107" t="str">
        <f t="shared" si="19"/>
        <v>OK.</v>
      </c>
      <c r="AD63" s="107" t="str">
        <f t="shared" si="19"/>
        <v>OK.</v>
      </c>
      <c r="AE63" s="107" t="str">
        <f t="shared" si="19"/>
        <v>OK.</v>
      </c>
      <c r="AF63" s="107" t="str">
        <f t="shared" si="19"/>
        <v>OK.</v>
      </c>
      <c r="AG63" s="107" t="str">
        <f t="shared" si="19"/>
        <v>OK.</v>
      </c>
      <c r="AH63" s="107" t="str">
        <f t="shared" si="19"/>
        <v>OK.</v>
      </c>
    </row>
    <row r="64" spans="4:34" ht="24">
      <c r="D64" s="106" t="s">
        <v>160</v>
      </c>
      <c r="E64" s="107">
        <f>+IF((E48+E51)-(E52+E49)=0,"OK.",(E48+E51)-(E52+E49))</f>
        <v>1.4901161193847656E-08</v>
      </c>
      <c r="F64" s="107" t="str">
        <f aca="true" t="shared" si="20" ref="F64:N64">+IF((F48+F51)-(F52+F49)&gt;=0,"OK.",(F48+F51)-(F52+F49))</f>
        <v>OK.</v>
      </c>
      <c r="G64" s="107" t="str">
        <f t="shared" si="20"/>
        <v>OK.</v>
      </c>
      <c r="H64" s="107" t="str">
        <f t="shared" si="20"/>
        <v>OK.</v>
      </c>
      <c r="I64" s="107" t="str">
        <f t="shared" si="20"/>
        <v>OK.</v>
      </c>
      <c r="J64" s="107" t="str">
        <f t="shared" si="20"/>
        <v>OK.</v>
      </c>
      <c r="K64" s="107" t="str">
        <f t="shared" si="20"/>
        <v>OK.</v>
      </c>
      <c r="L64" s="107" t="str">
        <f t="shared" si="20"/>
        <v>OK.</v>
      </c>
      <c r="M64" s="107" t="str">
        <f t="shared" si="20"/>
        <v>OK.</v>
      </c>
      <c r="N64" s="107" t="str">
        <f t="shared" si="20"/>
        <v>OK.</v>
      </c>
      <c r="O64" s="107" t="str">
        <f aca="true" t="shared" si="21" ref="O64:AH64">+IF((O48+O51)-(O52+O49)&gt;=0,"OK.",(O48+O51)-(O52+O49))</f>
        <v>OK.</v>
      </c>
      <c r="P64" s="107" t="str">
        <f t="shared" si="21"/>
        <v>OK.</v>
      </c>
      <c r="Q64" s="107" t="str">
        <f t="shared" si="21"/>
        <v>OK.</v>
      </c>
      <c r="R64" s="107" t="str">
        <f t="shared" si="21"/>
        <v>OK.</v>
      </c>
      <c r="S64" s="107" t="str">
        <f t="shared" si="21"/>
        <v>OK.</v>
      </c>
      <c r="T64" s="107" t="str">
        <f t="shared" si="21"/>
        <v>OK.</v>
      </c>
      <c r="U64" s="107" t="str">
        <f t="shared" si="21"/>
        <v>OK.</v>
      </c>
      <c r="V64" s="107" t="str">
        <f t="shared" si="21"/>
        <v>OK.</v>
      </c>
      <c r="W64" s="107" t="str">
        <f t="shared" si="21"/>
        <v>OK.</v>
      </c>
      <c r="X64" s="107" t="str">
        <f t="shared" si="21"/>
        <v>OK.</v>
      </c>
      <c r="Y64" s="107" t="str">
        <f t="shared" si="21"/>
        <v>OK.</v>
      </c>
      <c r="Z64" s="107" t="str">
        <f t="shared" si="21"/>
        <v>OK.</v>
      </c>
      <c r="AA64" s="107" t="str">
        <f t="shared" si="21"/>
        <v>OK.</v>
      </c>
      <c r="AB64" s="107" t="str">
        <f t="shared" si="21"/>
        <v>OK.</v>
      </c>
      <c r="AC64" s="107" t="str">
        <f t="shared" si="21"/>
        <v>OK.</v>
      </c>
      <c r="AD64" s="107" t="str">
        <f t="shared" si="21"/>
        <v>OK.</v>
      </c>
      <c r="AE64" s="107" t="str">
        <f t="shared" si="21"/>
        <v>OK.</v>
      </c>
      <c r="AF64" s="107" t="str">
        <f t="shared" si="21"/>
        <v>OK.</v>
      </c>
      <c r="AG64" s="107" t="str">
        <f t="shared" si="21"/>
        <v>OK.</v>
      </c>
      <c r="AH64" s="107" t="str">
        <f t="shared" si="21"/>
        <v>OK.</v>
      </c>
    </row>
    <row r="65" spans="4:34" ht="12">
      <c r="D65" s="45" t="s">
        <v>158</v>
      </c>
      <c r="E65" s="107">
        <f aca="true" t="shared" si="22" ref="E65:N65">+IF(E50&lt;0,IF((E50+E18+E29+E19)&lt;0,E50+E18+E29+E19,"OK."),"nd")</f>
        <v>-1214573.999999985</v>
      </c>
      <c r="F65" s="107" t="str">
        <f t="shared" si="22"/>
        <v>OK.</v>
      </c>
      <c r="G65" s="107" t="str">
        <f t="shared" si="22"/>
        <v>OK.</v>
      </c>
      <c r="H65" s="107" t="str">
        <f t="shared" si="22"/>
        <v>OK.</v>
      </c>
      <c r="I65" s="107" t="str">
        <f t="shared" si="22"/>
        <v>nd</v>
      </c>
      <c r="J65" s="107" t="str">
        <f t="shared" si="22"/>
        <v>nd</v>
      </c>
      <c r="K65" s="107" t="str">
        <f t="shared" si="22"/>
        <v>nd</v>
      </c>
      <c r="L65" s="107" t="str">
        <f t="shared" si="22"/>
        <v>nd</v>
      </c>
      <c r="M65" s="107" t="str">
        <f t="shared" si="22"/>
        <v>nd</v>
      </c>
      <c r="N65" s="107" t="str">
        <f t="shared" si="22"/>
        <v>nd</v>
      </c>
      <c r="O65" s="107" t="str">
        <f aca="true" t="shared" si="23" ref="O65:AH65">+IF(O50&lt;0,IF((O50+O18+O29+O19)&lt;0,O50+O18+O29+O19,"OK."),"nd")</f>
        <v>nd</v>
      </c>
      <c r="P65" s="107" t="str">
        <f t="shared" si="23"/>
        <v>nd</v>
      </c>
      <c r="Q65" s="107" t="str">
        <f t="shared" si="23"/>
        <v>nd</v>
      </c>
      <c r="R65" s="107" t="str">
        <f t="shared" si="23"/>
        <v>nd</v>
      </c>
      <c r="S65" s="107" t="str">
        <f t="shared" si="23"/>
        <v>nd</v>
      </c>
      <c r="T65" s="107" t="str">
        <f t="shared" si="23"/>
        <v>nd</v>
      </c>
      <c r="U65" s="107" t="str">
        <f t="shared" si="23"/>
        <v>nd</v>
      </c>
      <c r="V65" s="107" t="str">
        <f t="shared" si="23"/>
        <v>nd</v>
      </c>
      <c r="W65" s="107" t="str">
        <f t="shared" si="23"/>
        <v>nd</v>
      </c>
      <c r="X65" s="107" t="str">
        <f t="shared" si="23"/>
        <v>nd</v>
      </c>
      <c r="Y65" s="107" t="str">
        <f t="shared" si="23"/>
        <v>nd</v>
      </c>
      <c r="Z65" s="107" t="str">
        <f t="shared" si="23"/>
        <v>nd</v>
      </c>
      <c r="AA65" s="107" t="str">
        <f t="shared" si="23"/>
        <v>nd</v>
      </c>
      <c r="AB65" s="107" t="str">
        <f t="shared" si="23"/>
        <v>nd</v>
      </c>
      <c r="AC65" s="107" t="str">
        <f t="shared" si="23"/>
        <v>nd</v>
      </c>
      <c r="AD65" s="107" t="str">
        <f t="shared" si="23"/>
        <v>nd</v>
      </c>
      <c r="AE65" s="107" t="str">
        <f t="shared" si="23"/>
        <v>nd</v>
      </c>
      <c r="AF65" s="107" t="str">
        <f t="shared" si="23"/>
        <v>nd</v>
      </c>
      <c r="AG65" s="107" t="str">
        <f t="shared" si="23"/>
        <v>nd</v>
      </c>
      <c r="AH65" s="107" t="str">
        <f t="shared" si="23"/>
        <v>nd</v>
      </c>
    </row>
    <row r="66" spans="4:34" ht="24">
      <c r="D66" s="106" t="s">
        <v>159</v>
      </c>
      <c r="E66" s="107" t="str">
        <f>+IF((E22+E14)-E33&lt;0,(E22+E14)-E33,"OK.")</f>
        <v>OK.</v>
      </c>
      <c r="F66" s="107" t="str">
        <f aca="true" t="shared" si="24" ref="F66:AH66">+IF((F22+F14)-F33&lt;0,(F22+F14)-F33,"OK.")</f>
        <v>OK.</v>
      </c>
      <c r="G66" s="107" t="str">
        <f t="shared" si="24"/>
        <v>OK.</v>
      </c>
      <c r="H66" s="107" t="str">
        <f t="shared" si="24"/>
        <v>OK.</v>
      </c>
      <c r="I66" s="107" t="str">
        <f t="shared" si="24"/>
        <v>OK.</v>
      </c>
      <c r="J66" s="107" t="str">
        <f t="shared" si="24"/>
        <v>OK.</v>
      </c>
      <c r="K66" s="107" t="str">
        <f t="shared" si="24"/>
        <v>OK.</v>
      </c>
      <c r="L66" s="107" t="str">
        <f t="shared" si="24"/>
        <v>OK.</v>
      </c>
      <c r="M66" s="107" t="str">
        <f t="shared" si="24"/>
        <v>OK.</v>
      </c>
      <c r="N66" s="107" t="str">
        <f t="shared" si="24"/>
        <v>OK.</v>
      </c>
      <c r="O66" s="107" t="str">
        <f t="shared" si="24"/>
        <v>OK.</v>
      </c>
      <c r="P66" s="107" t="str">
        <f t="shared" si="24"/>
        <v>OK.</v>
      </c>
      <c r="Q66" s="107" t="str">
        <f t="shared" si="24"/>
        <v>OK.</v>
      </c>
      <c r="R66" s="107" t="str">
        <f t="shared" si="24"/>
        <v>OK.</v>
      </c>
      <c r="S66" s="107" t="str">
        <f t="shared" si="24"/>
        <v>OK.</v>
      </c>
      <c r="T66" s="107" t="str">
        <f t="shared" si="24"/>
        <v>OK.</v>
      </c>
      <c r="U66" s="107" t="str">
        <f t="shared" si="24"/>
        <v>OK.</v>
      </c>
      <c r="V66" s="107" t="str">
        <f t="shared" si="24"/>
        <v>OK.</v>
      </c>
      <c r="W66" s="107" t="str">
        <f t="shared" si="24"/>
        <v>OK.</v>
      </c>
      <c r="X66" s="107" t="str">
        <f t="shared" si="24"/>
        <v>OK.</v>
      </c>
      <c r="Y66" s="107" t="str">
        <f t="shared" si="24"/>
        <v>OK.</v>
      </c>
      <c r="Z66" s="107" t="str">
        <f t="shared" si="24"/>
        <v>OK.</v>
      </c>
      <c r="AA66" s="107" t="str">
        <f t="shared" si="24"/>
        <v>OK.</v>
      </c>
      <c r="AB66" s="107" t="str">
        <f t="shared" si="24"/>
        <v>OK.</v>
      </c>
      <c r="AC66" s="107" t="str">
        <f t="shared" si="24"/>
        <v>OK.</v>
      </c>
      <c r="AD66" s="107" t="str">
        <f t="shared" si="24"/>
        <v>OK.</v>
      </c>
      <c r="AE66" s="107" t="str">
        <f t="shared" si="24"/>
        <v>OK.</v>
      </c>
      <c r="AF66" s="107" t="str">
        <f t="shared" si="24"/>
        <v>OK.</v>
      </c>
      <c r="AG66" s="107" t="str">
        <f t="shared" si="24"/>
        <v>OK.</v>
      </c>
      <c r="AH66" s="107" t="str">
        <f t="shared" si="24"/>
        <v>OK.</v>
      </c>
    </row>
  </sheetData>
  <sheetProtection/>
  <mergeCells count="55">
    <mergeCell ref="A4:D4"/>
    <mergeCell ref="B5:D5"/>
    <mergeCell ref="C12:D12"/>
    <mergeCell ref="B17:D17"/>
    <mergeCell ref="B16:D16"/>
    <mergeCell ref="B6:D6"/>
    <mergeCell ref="C7:D7"/>
    <mergeCell ref="C8:D8"/>
    <mergeCell ref="B10:D10"/>
    <mergeCell ref="C11:D11"/>
    <mergeCell ref="C13:D13"/>
    <mergeCell ref="C15:D15"/>
    <mergeCell ref="B19:D19"/>
    <mergeCell ref="B20:D20"/>
    <mergeCell ref="B21:D21"/>
    <mergeCell ref="B25:D25"/>
    <mergeCell ref="C18:D18"/>
    <mergeCell ref="B41:D41"/>
    <mergeCell ref="C22:D22"/>
    <mergeCell ref="C24:D24"/>
    <mergeCell ref="B29:D29"/>
    <mergeCell ref="B46:D46"/>
    <mergeCell ref="B30:D30"/>
    <mergeCell ref="C32:D32"/>
    <mergeCell ref="B35:D35"/>
    <mergeCell ref="B38:D38"/>
    <mergeCell ref="B31:D31"/>
    <mergeCell ref="B45:D45"/>
    <mergeCell ref="C33:D33"/>
    <mergeCell ref="B36:D36"/>
    <mergeCell ref="B44:D44"/>
    <mergeCell ref="B43:D43"/>
    <mergeCell ref="C28:D28"/>
    <mergeCell ref="B40:D40"/>
    <mergeCell ref="B39:D39"/>
    <mergeCell ref="E4:AH4"/>
    <mergeCell ref="B57:D57"/>
    <mergeCell ref="B58:D58"/>
    <mergeCell ref="B59:D59"/>
    <mergeCell ref="B55:D55"/>
    <mergeCell ref="B56:D56"/>
    <mergeCell ref="B26:D26"/>
    <mergeCell ref="B27:D27"/>
    <mergeCell ref="B49:D49"/>
    <mergeCell ref="B47:D47"/>
    <mergeCell ref="B61:D61"/>
    <mergeCell ref="B53:D53"/>
    <mergeCell ref="B54:D54"/>
    <mergeCell ref="B34:D34"/>
    <mergeCell ref="B51:D51"/>
    <mergeCell ref="B52:D52"/>
    <mergeCell ref="B42:D42"/>
    <mergeCell ref="B50:D50"/>
    <mergeCell ref="B37:D37"/>
    <mergeCell ref="B60:D60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60" r:id="rId3"/>
  <headerFooter alignWithMargins="0">
    <oddFooter>&amp;C&amp;8Strona &amp;P z &amp;N&amp;R&amp;8Wydruk z dn.: &amp;D -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Q45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I4" sqref="I4"/>
    </sheetView>
  </sheetViews>
  <sheetFormatPr defaultColWidth="8.796875" defaultRowHeight="14.25"/>
  <cols>
    <col min="1" max="1" width="2.8984375" style="224" customWidth="1"/>
    <col min="2" max="2" width="4.59765625" style="1" customWidth="1"/>
    <col min="3" max="3" width="5" style="1" customWidth="1"/>
    <col min="4" max="4" width="26.19921875" style="51" customWidth="1"/>
    <col min="5" max="5" width="13" style="1" bestFit="1" customWidth="1"/>
    <col min="6" max="6" width="14.09765625" style="1" customWidth="1"/>
    <col min="7" max="8" width="9.3984375" style="1" hidden="1" customWidth="1"/>
    <col min="9" max="9" width="9" style="1" customWidth="1"/>
    <col min="10" max="10" width="8.59765625" style="1" customWidth="1"/>
    <col min="11" max="11" width="9.59765625" style="1" customWidth="1"/>
    <col min="12" max="12" width="9.3984375" style="1" customWidth="1"/>
    <col min="13" max="13" width="10.19921875" style="1" customWidth="1"/>
    <col min="14" max="15" width="9.19921875" style="1" customWidth="1"/>
    <col min="16" max="16" width="9.59765625" style="1" customWidth="1"/>
    <col min="17" max="38" width="9" style="1" customWidth="1"/>
    <col min="39" max="39" width="10.69921875" style="1" bestFit="1" customWidth="1"/>
    <col min="40" max="16384" width="9" style="1" customWidth="1"/>
  </cols>
  <sheetData>
    <row r="1" spans="2:36" s="5" customFormat="1" ht="12" customHeight="1">
      <c r="B1" s="1"/>
      <c r="C1" s="45"/>
      <c r="D1" s="27"/>
      <c r="E1" s="1"/>
      <c r="F1" s="1"/>
      <c r="G1" s="1"/>
      <c r="H1" s="1"/>
      <c r="I1" s="1"/>
      <c r="J1" s="1"/>
      <c r="K1" s="1"/>
      <c r="L1" s="113"/>
      <c r="M1" s="113"/>
      <c r="N1" s="194"/>
      <c r="O1" s="19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s="5" customFormat="1" ht="12" customHeight="1">
      <c r="B2" s="1"/>
      <c r="C2" s="45"/>
      <c r="D2" s="27"/>
      <c r="E2" s="1"/>
      <c r="H2" s="1"/>
      <c r="I2" s="1"/>
      <c r="J2" s="1"/>
      <c r="K2" s="1"/>
      <c r="L2" s="237" t="s">
        <v>219</v>
      </c>
      <c r="M2" s="237"/>
      <c r="N2" s="194"/>
      <c r="O2" s="19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s="5" customFormat="1" ht="12" customHeight="1">
      <c r="B3" s="1"/>
      <c r="C3" s="45"/>
      <c r="D3" s="27"/>
      <c r="E3" s="1"/>
      <c r="H3" s="1"/>
      <c r="I3" s="1"/>
      <c r="J3" s="1"/>
      <c r="K3" s="1"/>
      <c r="L3" s="237" t="s">
        <v>223</v>
      </c>
      <c r="M3" s="237"/>
      <c r="N3" s="194"/>
      <c r="O3" s="19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s="5" customFormat="1" ht="12" customHeight="1">
      <c r="B4" s="1"/>
      <c r="C4" s="45"/>
      <c r="D4" s="27"/>
      <c r="E4" s="1"/>
      <c r="H4" s="1"/>
      <c r="I4" s="1"/>
      <c r="J4" s="1"/>
      <c r="K4" s="1"/>
      <c r="L4" s="237" t="s">
        <v>216</v>
      </c>
      <c r="M4" s="237"/>
      <c r="N4" s="194"/>
      <c r="O4" s="19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s="5" customFormat="1" ht="12" customHeight="1">
      <c r="B5" s="1"/>
      <c r="C5" s="45"/>
      <c r="D5" s="27"/>
      <c r="E5" s="1"/>
      <c r="H5" s="1"/>
      <c r="I5" s="1"/>
      <c r="J5" s="1"/>
      <c r="K5" s="1"/>
      <c r="L5" s="237" t="s">
        <v>224</v>
      </c>
      <c r="M5" s="237"/>
      <c r="N5" s="194"/>
      <c r="O5" s="19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s="5" customFormat="1" ht="12" customHeight="1">
      <c r="B6" s="1"/>
      <c r="C6" s="45"/>
      <c r="D6" s="27"/>
      <c r="E6" s="1"/>
      <c r="H6" s="1"/>
      <c r="I6" s="1"/>
      <c r="J6" s="1"/>
      <c r="K6" s="1"/>
      <c r="L6" s="237"/>
      <c r="M6" s="237"/>
      <c r="N6" s="194"/>
      <c r="O6" s="19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s="5" customFormat="1" ht="21" customHeight="1">
      <c r="B7" s="249" t="s">
        <v>221</v>
      </c>
      <c r="C7" s="249"/>
      <c r="D7" s="249"/>
      <c r="E7" s="249"/>
      <c r="F7" s="250"/>
      <c r="G7" s="1"/>
      <c r="H7" s="1"/>
      <c r="I7" s="1"/>
      <c r="J7" s="197"/>
      <c r="K7" s="198"/>
      <c r="L7" s="198"/>
      <c r="M7" s="198"/>
      <c r="N7" s="198"/>
      <c r="O7" s="19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s="5" customFormat="1" ht="13.5" customHeight="1">
      <c r="B8" s="249"/>
      <c r="C8" s="249"/>
      <c r="D8" s="249"/>
      <c r="E8" s="249"/>
      <c r="F8" s="250"/>
      <c r="G8" s="1"/>
      <c r="H8" s="1"/>
      <c r="I8" s="1"/>
      <c r="J8" s="197"/>
      <c r="K8" s="198"/>
      <c r="L8" s="198"/>
      <c r="M8" s="198"/>
      <c r="N8" s="198"/>
      <c r="O8" s="19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s="5" customFormat="1" ht="12.75" customHeight="1" thickBot="1">
      <c r="B9" s="1"/>
      <c r="C9" s="1"/>
      <c r="D9" s="1"/>
      <c r="E9" s="1"/>
      <c r="F9" s="278" t="s">
        <v>218</v>
      </c>
      <c r="G9" s="1"/>
      <c r="H9" s="1"/>
      <c r="I9" s="1"/>
      <c r="J9" s="1"/>
      <c r="K9" s="1"/>
      <c r="L9" s="1"/>
      <c r="M9" s="1"/>
      <c r="N9" s="194"/>
      <c r="O9" s="19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251" s="88" customFormat="1" ht="21" customHeight="1" thickBot="1">
      <c r="A10" s="254" t="s">
        <v>0</v>
      </c>
      <c r="B10" s="255" t="s">
        <v>1</v>
      </c>
      <c r="C10" s="255"/>
      <c r="D10" s="256"/>
      <c r="E10" s="257" t="s">
        <v>220</v>
      </c>
      <c r="F10" s="257" t="s">
        <v>222</v>
      </c>
      <c r="G10" s="258" t="s">
        <v>217</v>
      </c>
      <c r="H10" s="227">
        <v>2012</v>
      </c>
      <c r="I10" s="87">
        <v>2013</v>
      </c>
      <c r="J10" s="87">
        <v>2014</v>
      </c>
      <c r="K10" s="87">
        <v>2015</v>
      </c>
      <c r="L10" s="87">
        <v>2016</v>
      </c>
      <c r="M10" s="87">
        <v>2017</v>
      </c>
      <c r="N10" s="87">
        <v>2018</v>
      </c>
      <c r="O10" s="87">
        <v>2019</v>
      </c>
      <c r="P10" s="87">
        <v>2020</v>
      </c>
      <c r="Q10" s="87">
        <v>2021</v>
      </c>
      <c r="R10" s="87">
        <v>2022</v>
      </c>
      <c r="S10" s="87">
        <v>2023</v>
      </c>
      <c r="T10" s="87">
        <v>2024</v>
      </c>
      <c r="U10" s="87">
        <v>2025</v>
      </c>
      <c r="V10" s="87">
        <v>2026</v>
      </c>
      <c r="W10" s="87">
        <v>2027</v>
      </c>
      <c r="X10" s="87">
        <v>2028</v>
      </c>
      <c r="Y10" s="87">
        <v>2029</v>
      </c>
      <c r="Z10" s="87">
        <v>2030</v>
      </c>
      <c r="AA10" s="87">
        <v>2031</v>
      </c>
      <c r="AB10" s="87">
        <v>2032</v>
      </c>
      <c r="AC10" s="87">
        <v>2033</v>
      </c>
      <c r="AD10" s="87">
        <v>2034</v>
      </c>
      <c r="AE10" s="87">
        <v>2035</v>
      </c>
      <c r="AF10" s="87">
        <v>2036</v>
      </c>
      <c r="AG10" s="87">
        <v>2037</v>
      </c>
      <c r="AH10" s="87">
        <v>2038</v>
      </c>
      <c r="AI10" s="87">
        <v>2039</v>
      </c>
      <c r="AJ10" s="87">
        <v>2040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36" ht="16.5" customHeight="1">
      <c r="A11" s="259" t="s">
        <v>137</v>
      </c>
      <c r="B11" s="219" t="s">
        <v>138</v>
      </c>
      <c r="C11" s="199"/>
      <c r="D11" s="200"/>
      <c r="E11" s="286">
        <v>80941057.56</v>
      </c>
      <c r="F11" s="242">
        <f>SUM(F12:F14)</f>
        <v>39817838.5</v>
      </c>
      <c r="G11" s="279">
        <f>SUM(F11/E11)*100</f>
        <v>49.19362274267769</v>
      </c>
      <c r="H11" s="228">
        <f>+Zal_1_WPF_wg_RIO_Lodz!F6</f>
        <v>80941057.56</v>
      </c>
      <c r="I11" s="89">
        <f>+Zal_1_WPF_wg_RIO_Lodz!G6</f>
        <v>81235289</v>
      </c>
      <c r="J11" s="89">
        <f>+Zal_1_WPF_wg_RIO_Lodz!H6</f>
        <v>86042639</v>
      </c>
      <c r="K11" s="89">
        <f>+Zal_1_WPF_wg_RIO_Lodz!I6</f>
        <v>91523349</v>
      </c>
      <c r="L11" s="89">
        <f>+Zal_1_WPF_wg_RIO_Lodz!J6</f>
        <v>95494112</v>
      </c>
      <c r="M11" s="89">
        <f>+Zal_1_WPF_wg_RIO_Lodz!K6</f>
        <v>100566656</v>
      </c>
      <c r="N11" s="89">
        <f>+Zal_1_WPF_wg_RIO_Lodz!L6</f>
        <v>106598109</v>
      </c>
      <c r="O11" s="89">
        <f>+Zal_1_WPF_wg_RIO_Lodz!M6</f>
        <v>113061489</v>
      </c>
      <c r="P11" s="89">
        <f>+Zal_1_WPF_wg_RIO_Lodz!N6</f>
        <v>116815684</v>
      </c>
      <c r="Q11" s="89">
        <f>+Zal_1_WPF_wg_RIO_Lodz!O6</f>
        <v>0</v>
      </c>
      <c r="R11" s="89">
        <f>+Zal_1_WPF_wg_RIO_Lodz!P6</f>
        <v>0</v>
      </c>
      <c r="S11" s="89">
        <f>+Zal_1_WPF_wg_RIO_Lodz!Q6</f>
        <v>0</v>
      </c>
      <c r="T11" s="89">
        <f>+Zal_1_WPF_wg_RIO_Lodz!R6</f>
        <v>0</v>
      </c>
      <c r="U11" s="89">
        <f>+Zal_1_WPF_wg_RIO_Lodz!S6</f>
        <v>0</v>
      </c>
      <c r="V11" s="89">
        <f>+Zal_1_WPF_wg_RIO_Lodz!T6</f>
        <v>0</v>
      </c>
      <c r="W11" s="89">
        <f>+Zal_1_WPF_wg_RIO_Lodz!U6</f>
        <v>0</v>
      </c>
      <c r="X11" s="89">
        <f>+Zal_1_WPF_wg_RIO_Lodz!V6</f>
        <v>0</v>
      </c>
      <c r="Y11" s="89">
        <f>+Zal_1_WPF_wg_RIO_Lodz!W6</f>
        <v>0</v>
      </c>
      <c r="Z11" s="89">
        <f>+Zal_1_WPF_wg_RIO_Lodz!X6</f>
        <v>0</v>
      </c>
      <c r="AA11" s="89">
        <f>+Zal_1_WPF_wg_RIO_Lodz!Y6</f>
        <v>0</v>
      </c>
      <c r="AB11" s="89">
        <f>+Zal_1_WPF_wg_RIO_Lodz!Z6</f>
        <v>0</v>
      </c>
      <c r="AC11" s="89">
        <f>+Zal_1_WPF_wg_RIO_Lodz!AA6</f>
        <v>0</v>
      </c>
      <c r="AD11" s="89">
        <f>+Zal_1_WPF_wg_RIO_Lodz!AB6</f>
        <v>0</v>
      </c>
      <c r="AE11" s="89">
        <f>+Zal_1_WPF_wg_RIO_Lodz!AC6</f>
        <v>0</v>
      </c>
      <c r="AF11" s="89">
        <f>+Zal_1_WPF_wg_RIO_Lodz!AD6</f>
        <v>0</v>
      </c>
      <c r="AG11" s="89">
        <f>+Zal_1_WPF_wg_RIO_Lodz!AE6</f>
        <v>0</v>
      </c>
      <c r="AH11" s="89">
        <f>+Zal_1_WPF_wg_RIO_Lodz!AF6</f>
        <v>0</v>
      </c>
      <c r="AI11" s="89">
        <f>+Zal_1_WPF_wg_RIO_Lodz!AG6</f>
        <v>0</v>
      </c>
      <c r="AJ11" s="89">
        <f>+Zal_1_WPF_wg_RIO_Lodz!AH6</f>
        <v>0</v>
      </c>
    </row>
    <row r="12" spans="1:36" ht="16.5" customHeight="1">
      <c r="A12" s="260"/>
      <c r="B12" s="220"/>
      <c r="C12" s="357" t="s">
        <v>3</v>
      </c>
      <c r="D12" s="358"/>
      <c r="E12" s="287">
        <v>80921057.56</v>
      </c>
      <c r="F12" s="243">
        <v>39634972.83</v>
      </c>
      <c r="G12" s="280">
        <f aca="true" t="shared" si="0" ref="G12:G21">SUM(F12/E12)*100</f>
        <v>48.97980083937005</v>
      </c>
      <c r="H12" s="229">
        <f>+Zal_1_WPF_wg_RIO_Lodz!F7</f>
        <v>80921057.56</v>
      </c>
      <c r="I12" s="90">
        <f>+Zal_1_WPF_wg_RIO_Lodz!G7</f>
        <v>81235289</v>
      </c>
      <c r="J12" s="90">
        <f>+Zal_1_WPF_wg_RIO_Lodz!H7</f>
        <v>86042639</v>
      </c>
      <c r="K12" s="90">
        <f>+Zal_1_WPF_wg_RIO_Lodz!I7</f>
        <v>91523349</v>
      </c>
      <c r="L12" s="90">
        <f>+Zal_1_WPF_wg_RIO_Lodz!J7</f>
        <v>95494112</v>
      </c>
      <c r="M12" s="90">
        <f>+Zal_1_WPF_wg_RIO_Lodz!K7</f>
        <v>100566656</v>
      </c>
      <c r="N12" s="90">
        <f>+Zal_1_WPF_wg_RIO_Lodz!L7</f>
        <v>106598109</v>
      </c>
      <c r="O12" s="90">
        <f>+Zal_1_WPF_wg_RIO_Lodz!M7</f>
        <v>113061489</v>
      </c>
      <c r="P12" s="90">
        <f>+Zal_1_WPF_wg_RIO_Lodz!N7</f>
        <v>116815684</v>
      </c>
      <c r="Q12" s="90">
        <f>+Zal_1_WPF_wg_RIO_Lodz!O7</f>
        <v>0</v>
      </c>
      <c r="R12" s="90">
        <f>+Zal_1_WPF_wg_RIO_Lodz!P7</f>
        <v>0</v>
      </c>
      <c r="S12" s="90">
        <f>+Zal_1_WPF_wg_RIO_Lodz!Q7</f>
        <v>0</v>
      </c>
      <c r="T12" s="90">
        <f>+Zal_1_WPF_wg_RIO_Lodz!R7</f>
        <v>0</v>
      </c>
      <c r="U12" s="90">
        <f>+Zal_1_WPF_wg_RIO_Lodz!S7</f>
        <v>0</v>
      </c>
      <c r="V12" s="90">
        <f>+Zal_1_WPF_wg_RIO_Lodz!T7</f>
        <v>0</v>
      </c>
      <c r="W12" s="90">
        <f>+Zal_1_WPF_wg_RIO_Lodz!U7</f>
        <v>0</v>
      </c>
      <c r="X12" s="90">
        <f>+Zal_1_WPF_wg_RIO_Lodz!V7</f>
        <v>0</v>
      </c>
      <c r="Y12" s="90">
        <f>+Zal_1_WPF_wg_RIO_Lodz!W7</f>
        <v>0</v>
      </c>
      <c r="Z12" s="90">
        <f>+Zal_1_WPF_wg_RIO_Lodz!X7</f>
        <v>0</v>
      </c>
      <c r="AA12" s="90">
        <f>+Zal_1_WPF_wg_RIO_Lodz!Y7</f>
        <v>0</v>
      </c>
      <c r="AB12" s="90">
        <f>+Zal_1_WPF_wg_RIO_Lodz!Z7</f>
        <v>0</v>
      </c>
      <c r="AC12" s="90">
        <f>+Zal_1_WPF_wg_RIO_Lodz!AA7</f>
        <v>0</v>
      </c>
      <c r="AD12" s="90">
        <f>+Zal_1_WPF_wg_RIO_Lodz!AB7</f>
        <v>0</v>
      </c>
      <c r="AE12" s="90">
        <f>+Zal_1_WPF_wg_RIO_Lodz!AC7</f>
        <v>0</v>
      </c>
      <c r="AF12" s="90">
        <f>+Zal_1_WPF_wg_RIO_Lodz!AD7</f>
        <v>0</v>
      </c>
      <c r="AG12" s="90">
        <f>+Zal_1_WPF_wg_RIO_Lodz!AE7</f>
        <v>0</v>
      </c>
      <c r="AH12" s="90">
        <f>+Zal_1_WPF_wg_RIO_Lodz!AF7</f>
        <v>0</v>
      </c>
      <c r="AI12" s="90">
        <f>+Zal_1_WPF_wg_RIO_Lodz!AG7</f>
        <v>0</v>
      </c>
      <c r="AJ12" s="90">
        <f>+Zal_1_WPF_wg_RIO_Lodz!AH7</f>
        <v>0</v>
      </c>
    </row>
    <row r="13" spans="1:36" ht="17.25" customHeight="1">
      <c r="A13" s="260"/>
      <c r="B13" s="220"/>
      <c r="C13" s="357" t="s">
        <v>5</v>
      </c>
      <c r="D13" s="358"/>
      <c r="E13" s="287">
        <v>20000</v>
      </c>
      <c r="F13" s="243">
        <v>182865.67</v>
      </c>
      <c r="G13" s="280">
        <f t="shared" si="0"/>
        <v>914.3283500000001</v>
      </c>
      <c r="H13" s="229">
        <f>+Zal_1_WPF_wg_RIO_Lodz!F8</f>
        <v>0</v>
      </c>
      <c r="I13" s="90">
        <f>+Zal_1_WPF_wg_RIO_Lodz!G8</f>
        <v>0</v>
      </c>
      <c r="J13" s="90">
        <f>+Zal_1_WPF_wg_RIO_Lodz!H8</f>
        <v>0</v>
      </c>
      <c r="K13" s="90">
        <f>+Zal_1_WPF_wg_RIO_Lodz!I8</f>
        <v>0</v>
      </c>
      <c r="L13" s="90">
        <f>+Zal_1_WPF_wg_RIO_Lodz!J8</f>
        <v>0</v>
      </c>
      <c r="M13" s="90">
        <f>+Zal_1_WPF_wg_RIO_Lodz!K8</f>
        <v>0</v>
      </c>
      <c r="N13" s="90">
        <f>+Zal_1_WPF_wg_RIO_Lodz!L8</f>
        <v>0</v>
      </c>
      <c r="O13" s="90">
        <f>+Zal_1_WPF_wg_RIO_Lodz!M8</f>
        <v>0</v>
      </c>
      <c r="P13" s="90">
        <f>+Zal_1_WPF_wg_RIO_Lodz!N8</f>
        <v>0</v>
      </c>
      <c r="Q13" s="90">
        <f>+Zal_1_WPF_wg_RIO_Lodz!O8</f>
        <v>0</v>
      </c>
      <c r="R13" s="90">
        <f>+Zal_1_WPF_wg_RIO_Lodz!P8</f>
        <v>0</v>
      </c>
      <c r="S13" s="90">
        <f>+Zal_1_WPF_wg_RIO_Lodz!Q8</f>
        <v>0</v>
      </c>
      <c r="T13" s="90">
        <f>+Zal_1_WPF_wg_RIO_Lodz!R8</f>
        <v>0</v>
      </c>
      <c r="U13" s="90">
        <f>+Zal_1_WPF_wg_RIO_Lodz!S8</f>
        <v>0</v>
      </c>
      <c r="V13" s="90">
        <f>+Zal_1_WPF_wg_RIO_Lodz!T8</f>
        <v>0</v>
      </c>
      <c r="W13" s="90">
        <f>+Zal_1_WPF_wg_RIO_Lodz!U8</f>
        <v>0</v>
      </c>
      <c r="X13" s="90">
        <f>+Zal_1_WPF_wg_RIO_Lodz!V8</f>
        <v>0</v>
      </c>
      <c r="Y13" s="90">
        <f>+Zal_1_WPF_wg_RIO_Lodz!W8</f>
        <v>0</v>
      </c>
      <c r="Z13" s="90">
        <f>+Zal_1_WPF_wg_RIO_Lodz!X8</f>
        <v>0</v>
      </c>
      <c r="AA13" s="90">
        <f>+Zal_1_WPF_wg_RIO_Lodz!Y8</f>
        <v>0</v>
      </c>
      <c r="AB13" s="90">
        <f>+Zal_1_WPF_wg_RIO_Lodz!Z8</f>
        <v>0</v>
      </c>
      <c r="AC13" s="90">
        <f>+Zal_1_WPF_wg_RIO_Lodz!AA8</f>
        <v>0</v>
      </c>
      <c r="AD13" s="90">
        <f>+Zal_1_WPF_wg_RIO_Lodz!AB8</f>
        <v>0</v>
      </c>
      <c r="AE13" s="90">
        <f>+Zal_1_WPF_wg_RIO_Lodz!AC8</f>
        <v>0</v>
      </c>
      <c r="AF13" s="90">
        <f>+Zal_1_WPF_wg_RIO_Lodz!AD8</f>
        <v>0</v>
      </c>
      <c r="AG13" s="90">
        <f>+Zal_1_WPF_wg_RIO_Lodz!AE8</f>
        <v>0</v>
      </c>
      <c r="AH13" s="90">
        <f>+Zal_1_WPF_wg_RIO_Lodz!AF8</f>
        <v>0</v>
      </c>
      <c r="AI13" s="90">
        <f>+Zal_1_WPF_wg_RIO_Lodz!AG8</f>
        <v>0</v>
      </c>
      <c r="AJ13" s="90">
        <f>+Zal_1_WPF_wg_RIO_Lodz!AH8</f>
        <v>0</v>
      </c>
    </row>
    <row r="14" spans="1:36" ht="15.75" customHeight="1" thickBot="1">
      <c r="A14" s="262"/>
      <c r="B14" s="204"/>
      <c r="C14" s="204"/>
      <c r="D14" s="205" t="s">
        <v>6</v>
      </c>
      <c r="E14" s="288">
        <f>+Zal_1_WPF_wg_RIO_Lodz!E9</f>
        <v>0</v>
      </c>
      <c r="F14" s="244">
        <v>0</v>
      </c>
      <c r="G14" s="281">
        <v>0</v>
      </c>
      <c r="H14" s="230">
        <f>+Zal_1_WPF_wg_RIO_Lodz!F9</f>
        <v>20000</v>
      </c>
      <c r="I14" s="91">
        <f>+Zal_1_WPF_wg_RIO_Lodz!G9</f>
        <v>0</v>
      </c>
      <c r="J14" s="91">
        <f>+Zal_1_WPF_wg_RIO_Lodz!H9</f>
        <v>0</v>
      </c>
      <c r="K14" s="91">
        <f>+Zal_1_WPF_wg_RIO_Lodz!I9</f>
        <v>0</v>
      </c>
      <c r="L14" s="91">
        <f>+Zal_1_WPF_wg_RIO_Lodz!J9</f>
        <v>0</v>
      </c>
      <c r="M14" s="91">
        <f>+Zal_1_WPF_wg_RIO_Lodz!K9</f>
        <v>0</v>
      </c>
      <c r="N14" s="91">
        <f>+Zal_1_WPF_wg_RIO_Lodz!L9</f>
        <v>0</v>
      </c>
      <c r="O14" s="91">
        <f>+Zal_1_WPF_wg_RIO_Lodz!M9</f>
        <v>0</v>
      </c>
      <c r="P14" s="91">
        <f>+Zal_1_WPF_wg_RIO_Lodz!N9</f>
        <v>0</v>
      </c>
      <c r="Q14" s="91">
        <f>+Zal_1_WPF_wg_RIO_Lodz!O9</f>
        <v>0</v>
      </c>
      <c r="R14" s="91">
        <f>+Zal_1_WPF_wg_RIO_Lodz!P9</f>
        <v>0</v>
      </c>
      <c r="S14" s="91">
        <f>+Zal_1_WPF_wg_RIO_Lodz!Q9</f>
        <v>0</v>
      </c>
      <c r="T14" s="91">
        <f>+Zal_1_WPF_wg_RIO_Lodz!R9</f>
        <v>0</v>
      </c>
      <c r="U14" s="91">
        <f>+Zal_1_WPF_wg_RIO_Lodz!S9</f>
        <v>0</v>
      </c>
      <c r="V14" s="91">
        <f>+Zal_1_WPF_wg_RIO_Lodz!T9</f>
        <v>0</v>
      </c>
      <c r="W14" s="91">
        <f>+Zal_1_WPF_wg_RIO_Lodz!U9</f>
        <v>0</v>
      </c>
      <c r="X14" s="91">
        <f>+Zal_1_WPF_wg_RIO_Lodz!V9</f>
        <v>0</v>
      </c>
      <c r="Y14" s="91">
        <f>+Zal_1_WPF_wg_RIO_Lodz!W9</f>
        <v>0</v>
      </c>
      <c r="Z14" s="91">
        <f>+Zal_1_WPF_wg_RIO_Lodz!X9</f>
        <v>0</v>
      </c>
      <c r="AA14" s="91">
        <f>+Zal_1_WPF_wg_RIO_Lodz!Y9</f>
        <v>0</v>
      </c>
      <c r="AB14" s="91">
        <f>+Zal_1_WPF_wg_RIO_Lodz!Z9</f>
        <v>0</v>
      </c>
      <c r="AC14" s="91">
        <f>+Zal_1_WPF_wg_RIO_Lodz!AA9</f>
        <v>0</v>
      </c>
      <c r="AD14" s="91">
        <f>+Zal_1_WPF_wg_RIO_Lodz!AB9</f>
        <v>0</v>
      </c>
      <c r="AE14" s="91">
        <f>+Zal_1_WPF_wg_RIO_Lodz!AC9</f>
        <v>0</v>
      </c>
      <c r="AF14" s="91">
        <f>+Zal_1_WPF_wg_RIO_Lodz!AD9</f>
        <v>0</v>
      </c>
      <c r="AG14" s="91">
        <f>+Zal_1_WPF_wg_RIO_Lodz!AE9</f>
        <v>0</v>
      </c>
      <c r="AH14" s="91">
        <f>+Zal_1_WPF_wg_RIO_Lodz!AF9</f>
        <v>0</v>
      </c>
      <c r="AI14" s="91">
        <f>+Zal_1_WPF_wg_RIO_Lodz!AG9</f>
        <v>0</v>
      </c>
      <c r="AJ14" s="91">
        <f>+Zal_1_WPF_wg_RIO_Lodz!AH9</f>
        <v>0</v>
      </c>
    </row>
    <row r="15" spans="1:36" s="5" customFormat="1" ht="20.25" customHeight="1" thickBot="1">
      <c r="A15" s="271" t="s">
        <v>7</v>
      </c>
      <c r="B15" s="238" t="s">
        <v>139</v>
      </c>
      <c r="C15" s="239"/>
      <c r="D15" s="240"/>
      <c r="E15" s="289">
        <f>E21+E16</f>
        <v>84665631.56</v>
      </c>
      <c r="F15" s="247">
        <f>SUM(F16+F21)</f>
        <v>34260402.21</v>
      </c>
      <c r="G15" s="282">
        <f t="shared" si="0"/>
        <v>40.46553669858433</v>
      </c>
      <c r="H15" s="228">
        <f aca="true" t="shared" si="1" ref="H15:P15">H21+H16</f>
        <v>82130233</v>
      </c>
      <c r="I15" s="89">
        <f t="shared" si="1"/>
        <v>82497477</v>
      </c>
      <c r="J15" s="89">
        <f t="shared" si="1"/>
        <v>87640949</v>
      </c>
      <c r="K15" s="89">
        <f t="shared" si="1"/>
        <v>85544092</v>
      </c>
      <c r="L15" s="89">
        <f t="shared" si="1"/>
        <v>89400565</v>
      </c>
      <c r="M15" s="89">
        <f t="shared" si="1"/>
        <v>94041940</v>
      </c>
      <c r="N15" s="89">
        <f t="shared" si="1"/>
        <v>100208109</v>
      </c>
      <c r="O15" s="89">
        <f t="shared" si="1"/>
        <v>106621489</v>
      </c>
      <c r="P15" s="89">
        <f t="shared" si="1"/>
        <v>112824493</v>
      </c>
      <c r="Q15" s="89">
        <f aca="true" t="shared" si="2" ref="Q15:AJ15">Q21+Q16</f>
        <v>0</v>
      </c>
      <c r="R15" s="89">
        <f t="shared" si="2"/>
        <v>0</v>
      </c>
      <c r="S15" s="89">
        <f t="shared" si="2"/>
        <v>0</v>
      </c>
      <c r="T15" s="89">
        <f t="shared" si="2"/>
        <v>0</v>
      </c>
      <c r="U15" s="89">
        <f t="shared" si="2"/>
        <v>0</v>
      </c>
      <c r="V15" s="89">
        <f t="shared" si="2"/>
        <v>0</v>
      </c>
      <c r="W15" s="89">
        <f t="shared" si="2"/>
        <v>0</v>
      </c>
      <c r="X15" s="89">
        <f t="shared" si="2"/>
        <v>0</v>
      </c>
      <c r="Y15" s="89">
        <f t="shared" si="2"/>
        <v>0</v>
      </c>
      <c r="Z15" s="89">
        <f t="shared" si="2"/>
        <v>0</v>
      </c>
      <c r="AA15" s="89">
        <f t="shared" si="2"/>
        <v>0</v>
      </c>
      <c r="AB15" s="89">
        <f t="shared" si="2"/>
        <v>0</v>
      </c>
      <c r="AC15" s="89">
        <f t="shared" si="2"/>
        <v>0</v>
      </c>
      <c r="AD15" s="89">
        <f t="shared" si="2"/>
        <v>0</v>
      </c>
      <c r="AE15" s="89">
        <f t="shared" si="2"/>
        <v>0</v>
      </c>
      <c r="AF15" s="89">
        <f t="shared" si="2"/>
        <v>0</v>
      </c>
      <c r="AG15" s="89">
        <f t="shared" si="2"/>
        <v>0</v>
      </c>
      <c r="AH15" s="89">
        <f t="shared" si="2"/>
        <v>0</v>
      </c>
      <c r="AI15" s="89">
        <f t="shared" si="2"/>
        <v>0</v>
      </c>
      <c r="AJ15" s="89">
        <f t="shared" si="2"/>
        <v>0</v>
      </c>
    </row>
    <row r="16" spans="1:251" s="93" customFormat="1" ht="17.25" customHeight="1">
      <c r="A16" s="273"/>
      <c r="B16" s="221"/>
      <c r="C16" s="206" t="s">
        <v>140</v>
      </c>
      <c r="D16" s="207"/>
      <c r="E16" s="290">
        <v>64647800.84</v>
      </c>
      <c r="F16" s="245">
        <f>SUM(F20+F17)</f>
        <v>27521838</v>
      </c>
      <c r="G16" s="280">
        <f t="shared" si="0"/>
        <v>42.57196322596516</v>
      </c>
      <c r="H16" s="231">
        <f aca="true" t="shared" si="3" ref="H16:P16">H17+H20</f>
        <v>64800100</v>
      </c>
      <c r="I16" s="92">
        <f t="shared" si="3"/>
        <v>65922534</v>
      </c>
      <c r="J16" s="92">
        <f t="shared" si="3"/>
        <v>69840511</v>
      </c>
      <c r="K16" s="92">
        <f t="shared" si="3"/>
        <v>72695500</v>
      </c>
      <c r="L16" s="92">
        <f t="shared" si="3"/>
        <v>75602426</v>
      </c>
      <c r="M16" s="92">
        <f t="shared" si="3"/>
        <v>78636723</v>
      </c>
      <c r="N16" s="92">
        <f t="shared" si="3"/>
        <v>81818820</v>
      </c>
      <c r="O16" s="92">
        <f t="shared" si="3"/>
        <v>85112220</v>
      </c>
      <c r="P16" s="92">
        <f t="shared" si="3"/>
        <v>88533720</v>
      </c>
      <c r="Q16" s="92">
        <f aca="true" t="shared" si="4" ref="Q16:AJ16">Q17+Q20</f>
        <v>0</v>
      </c>
      <c r="R16" s="92">
        <f t="shared" si="4"/>
        <v>0</v>
      </c>
      <c r="S16" s="92">
        <f t="shared" si="4"/>
        <v>0</v>
      </c>
      <c r="T16" s="92">
        <f t="shared" si="4"/>
        <v>0</v>
      </c>
      <c r="U16" s="92">
        <f t="shared" si="4"/>
        <v>0</v>
      </c>
      <c r="V16" s="92">
        <f t="shared" si="4"/>
        <v>0</v>
      </c>
      <c r="W16" s="92">
        <f t="shared" si="4"/>
        <v>0</v>
      </c>
      <c r="X16" s="92">
        <f t="shared" si="4"/>
        <v>0</v>
      </c>
      <c r="Y16" s="92">
        <f t="shared" si="4"/>
        <v>0</v>
      </c>
      <c r="Z16" s="92">
        <f t="shared" si="4"/>
        <v>0</v>
      </c>
      <c r="AA16" s="92">
        <f t="shared" si="4"/>
        <v>0</v>
      </c>
      <c r="AB16" s="92">
        <f t="shared" si="4"/>
        <v>0</v>
      </c>
      <c r="AC16" s="92">
        <f t="shared" si="4"/>
        <v>0</v>
      </c>
      <c r="AD16" s="92">
        <f t="shared" si="4"/>
        <v>0</v>
      </c>
      <c r="AE16" s="92">
        <f t="shared" si="4"/>
        <v>0</v>
      </c>
      <c r="AF16" s="92">
        <f t="shared" si="4"/>
        <v>0</v>
      </c>
      <c r="AG16" s="92">
        <f t="shared" si="4"/>
        <v>0</v>
      </c>
      <c r="AH16" s="92">
        <f t="shared" si="4"/>
        <v>0</v>
      </c>
      <c r="AI16" s="92">
        <f t="shared" si="4"/>
        <v>0</v>
      </c>
      <c r="AJ16" s="92">
        <f t="shared" si="4"/>
        <v>0</v>
      </c>
      <c r="AK16" s="5"/>
      <c r="AL16" s="241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36" ht="31.5">
      <c r="A17" s="273"/>
      <c r="B17" s="221"/>
      <c r="C17" s="209"/>
      <c r="D17" s="207" t="s">
        <v>141</v>
      </c>
      <c r="E17" s="290">
        <v>62765844.84</v>
      </c>
      <c r="F17" s="245">
        <v>26844351.19</v>
      </c>
      <c r="G17" s="283">
        <f t="shared" si="0"/>
        <v>42.76904303356462</v>
      </c>
      <c r="H17" s="231">
        <f>+Zal_1_WPF_wg_RIO_Lodz!F10</f>
        <v>62918144</v>
      </c>
      <c r="I17" s="92">
        <v>63964070</v>
      </c>
      <c r="J17" s="92">
        <v>67778068</v>
      </c>
      <c r="K17" s="92">
        <v>69812512</v>
      </c>
      <c r="L17" s="92">
        <v>73774124</v>
      </c>
      <c r="M17" s="92">
        <v>77168137</v>
      </c>
      <c r="N17" s="92">
        <f>+Zal_1_WPF_wg_RIO_Lodz!L10</f>
        <v>80708820</v>
      </c>
      <c r="O17" s="92">
        <f>+Zal_1_WPF_wg_RIO_Lodz!M10</f>
        <v>84368220</v>
      </c>
      <c r="P17" s="92">
        <v>88161720</v>
      </c>
      <c r="Q17" s="92">
        <f>+Zal_1_WPF_wg_RIO_Lodz!O10</f>
        <v>0</v>
      </c>
      <c r="R17" s="92">
        <f>+Zal_1_WPF_wg_RIO_Lodz!P10</f>
        <v>0</v>
      </c>
      <c r="S17" s="92">
        <f>+Zal_1_WPF_wg_RIO_Lodz!Q10</f>
        <v>0</v>
      </c>
      <c r="T17" s="92">
        <f>+Zal_1_WPF_wg_RIO_Lodz!R10</f>
        <v>0</v>
      </c>
      <c r="U17" s="92">
        <f>+Zal_1_WPF_wg_RIO_Lodz!S10</f>
        <v>0</v>
      </c>
      <c r="V17" s="92">
        <f>+Zal_1_WPF_wg_RIO_Lodz!T10</f>
        <v>0</v>
      </c>
      <c r="W17" s="92">
        <f>+Zal_1_WPF_wg_RIO_Lodz!U10</f>
        <v>0</v>
      </c>
      <c r="X17" s="92">
        <f>+Zal_1_WPF_wg_RIO_Lodz!V10</f>
        <v>0</v>
      </c>
      <c r="Y17" s="92">
        <f>+Zal_1_WPF_wg_RIO_Lodz!W10</f>
        <v>0</v>
      </c>
      <c r="Z17" s="92">
        <f>+Zal_1_WPF_wg_RIO_Lodz!X10</f>
        <v>0</v>
      </c>
      <c r="AA17" s="92">
        <f>+Zal_1_WPF_wg_RIO_Lodz!Y10</f>
        <v>0</v>
      </c>
      <c r="AB17" s="92">
        <f>+Zal_1_WPF_wg_RIO_Lodz!Z10</f>
        <v>0</v>
      </c>
      <c r="AC17" s="92">
        <f>+Zal_1_WPF_wg_RIO_Lodz!AA10</f>
        <v>0</v>
      </c>
      <c r="AD17" s="92">
        <f>+Zal_1_WPF_wg_RIO_Lodz!AB10</f>
        <v>0</v>
      </c>
      <c r="AE17" s="92">
        <f>+Zal_1_WPF_wg_RIO_Lodz!AC10</f>
        <v>0</v>
      </c>
      <c r="AF17" s="92">
        <f>+Zal_1_WPF_wg_RIO_Lodz!AD10</f>
        <v>0</v>
      </c>
      <c r="AG17" s="92">
        <f>+Zal_1_WPF_wg_RIO_Lodz!AE10</f>
        <v>0</v>
      </c>
      <c r="AH17" s="92">
        <f>+Zal_1_WPF_wg_RIO_Lodz!AF10</f>
        <v>0</v>
      </c>
      <c r="AI17" s="92">
        <f>+Zal_1_WPF_wg_RIO_Lodz!AG10</f>
        <v>0</v>
      </c>
      <c r="AJ17" s="92">
        <f>+Zal_1_WPF_wg_RIO_Lodz!AH10</f>
        <v>0</v>
      </c>
    </row>
    <row r="18" spans="1:36" ht="31.5">
      <c r="A18" s="260"/>
      <c r="B18" s="220"/>
      <c r="C18" s="209"/>
      <c r="D18" s="207" t="s">
        <v>142</v>
      </c>
      <c r="E18" s="291">
        <f>+Zal_1_WPF_wg_RIO_Lodz!E13</f>
        <v>0</v>
      </c>
      <c r="F18" s="243">
        <v>0</v>
      </c>
      <c r="G18" s="283">
        <v>0</v>
      </c>
      <c r="H18" s="229">
        <f>+Zal_1_WPF_wg_RIO_Lodz!F13</f>
        <v>0</v>
      </c>
      <c r="I18" s="90">
        <f>+Zal_1_WPF_wg_RIO_Lodz!G13</f>
        <v>0</v>
      </c>
      <c r="J18" s="90">
        <f>+Zal_1_WPF_wg_RIO_Lodz!H13</f>
        <v>0</v>
      </c>
      <c r="K18" s="90">
        <f>+Zal_1_WPF_wg_RIO_Lodz!I13</f>
        <v>0</v>
      </c>
      <c r="L18" s="90">
        <f>+Zal_1_WPF_wg_RIO_Lodz!J13</f>
        <v>0</v>
      </c>
      <c r="M18" s="90">
        <f>+Zal_1_WPF_wg_RIO_Lodz!K13</f>
        <v>0</v>
      </c>
      <c r="N18" s="90">
        <f>+Zal_1_WPF_wg_RIO_Lodz!L13</f>
        <v>0</v>
      </c>
      <c r="O18" s="90">
        <f>+Zal_1_WPF_wg_RIO_Lodz!M13</f>
        <v>0</v>
      </c>
      <c r="P18" s="90">
        <f>+Zal_1_WPF_wg_RIO_Lodz!N13</f>
        <v>0</v>
      </c>
      <c r="Q18" s="90">
        <f>+Zal_1_WPF_wg_RIO_Lodz!O13</f>
        <v>0</v>
      </c>
      <c r="R18" s="90">
        <f>+Zal_1_WPF_wg_RIO_Lodz!P13</f>
        <v>0</v>
      </c>
      <c r="S18" s="90">
        <f>+Zal_1_WPF_wg_RIO_Lodz!Q13</f>
        <v>0</v>
      </c>
      <c r="T18" s="90">
        <f>+Zal_1_WPF_wg_RIO_Lodz!R13</f>
        <v>0</v>
      </c>
      <c r="U18" s="90">
        <f>+Zal_1_WPF_wg_RIO_Lodz!S13</f>
        <v>0</v>
      </c>
      <c r="V18" s="90">
        <f>+Zal_1_WPF_wg_RIO_Lodz!T13</f>
        <v>0</v>
      </c>
      <c r="W18" s="90">
        <f>+Zal_1_WPF_wg_RIO_Lodz!U13</f>
        <v>0</v>
      </c>
      <c r="X18" s="90">
        <f>+Zal_1_WPF_wg_RIO_Lodz!V13</f>
        <v>0</v>
      </c>
      <c r="Y18" s="90">
        <f>+Zal_1_WPF_wg_RIO_Lodz!W13</f>
        <v>0</v>
      </c>
      <c r="Z18" s="90">
        <f>+Zal_1_WPF_wg_RIO_Lodz!X13</f>
        <v>0</v>
      </c>
      <c r="AA18" s="90">
        <f>+Zal_1_WPF_wg_RIO_Lodz!Y13</f>
        <v>0</v>
      </c>
      <c r="AB18" s="90">
        <f>+Zal_1_WPF_wg_RIO_Lodz!Z13</f>
        <v>0</v>
      </c>
      <c r="AC18" s="90">
        <f>+Zal_1_WPF_wg_RIO_Lodz!AA13</f>
        <v>0</v>
      </c>
      <c r="AD18" s="90">
        <f>+Zal_1_WPF_wg_RIO_Lodz!AB13</f>
        <v>0</v>
      </c>
      <c r="AE18" s="90">
        <f>+Zal_1_WPF_wg_RIO_Lodz!AC13</f>
        <v>0</v>
      </c>
      <c r="AF18" s="90">
        <f>+Zal_1_WPF_wg_RIO_Lodz!AD13</f>
        <v>0</v>
      </c>
      <c r="AG18" s="90">
        <f>+Zal_1_WPF_wg_RIO_Lodz!AE13</f>
        <v>0</v>
      </c>
      <c r="AH18" s="90">
        <f>+Zal_1_WPF_wg_RIO_Lodz!AF13</f>
        <v>0</v>
      </c>
      <c r="AI18" s="90">
        <f>+Zal_1_WPF_wg_RIO_Lodz!AG13</f>
        <v>0</v>
      </c>
      <c r="AJ18" s="90">
        <f>+Zal_1_WPF_wg_RIO_Lodz!AH13</f>
        <v>0</v>
      </c>
    </row>
    <row r="19" spans="1:36" ht="63">
      <c r="A19" s="260"/>
      <c r="B19" s="220"/>
      <c r="C19" s="201"/>
      <c r="D19" s="207" t="s">
        <v>215</v>
      </c>
      <c r="E19" s="291">
        <f>+Zal_1_WPF_wg_RIO_Lodz!E14</f>
        <v>0</v>
      </c>
      <c r="F19" s="243">
        <v>0</v>
      </c>
      <c r="G19" s="283">
        <v>0</v>
      </c>
      <c r="H19" s="229">
        <f>+Zal_1_WPF_wg_RIO_Lodz!F14</f>
        <v>0</v>
      </c>
      <c r="I19" s="90">
        <f>+Zal_1_WPF_wg_RIO_Lodz!G14</f>
        <v>0</v>
      </c>
      <c r="J19" s="90">
        <f>+Zal_1_WPF_wg_RIO_Lodz!H14</f>
        <v>0</v>
      </c>
      <c r="K19" s="90">
        <f>+Zal_1_WPF_wg_RIO_Lodz!I14</f>
        <v>0</v>
      </c>
      <c r="L19" s="90">
        <f>+Zal_1_WPF_wg_RIO_Lodz!J14</f>
        <v>0</v>
      </c>
      <c r="M19" s="90">
        <f>+Zal_1_WPF_wg_RIO_Lodz!K14</f>
        <v>0</v>
      </c>
      <c r="N19" s="90">
        <f>+Zal_1_WPF_wg_RIO_Lodz!L14</f>
        <v>0</v>
      </c>
      <c r="O19" s="90">
        <f>+Zal_1_WPF_wg_RIO_Lodz!M14</f>
        <v>0</v>
      </c>
      <c r="P19" s="90">
        <f>+Zal_1_WPF_wg_RIO_Lodz!N14</f>
        <v>0</v>
      </c>
      <c r="Q19" s="90">
        <f>+Zal_1_WPF_wg_RIO_Lodz!O14</f>
        <v>0</v>
      </c>
      <c r="R19" s="90">
        <f>+Zal_1_WPF_wg_RIO_Lodz!P14</f>
        <v>0</v>
      </c>
      <c r="S19" s="90">
        <f>+Zal_1_WPF_wg_RIO_Lodz!Q14</f>
        <v>0</v>
      </c>
      <c r="T19" s="90">
        <f>+Zal_1_WPF_wg_RIO_Lodz!R14</f>
        <v>0</v>
      </c>
      <c r="U19" s="90">
        <f>+Zal_1_WPF_wg_RIO_Lodz!S14</f>
        <v>0</v>
      </c>
      <c r="V19" s="90">
        <f>+Zal_1_WPF_wg_RIO_Lodz!T14</f>
        <v>0</v>
      </c>
      <c r="W19" s="90">
        <f>+Zal_1_WPF_wg_RIO_Lodz!U14</f>
        <v>0</v>
      </c>
      <c r="X19" s="90">
        <f>+Zal_1_WPF_wg_RIO_Lodz!V14</f>
        <v>0</v>
      </c>
      <c r="Y19" s="90">
        <f>+Zal_1_WPF_wg_RIO_Lodz!W14</f>
        <v>0</v>
      </c>
      <c r="Z19" s="90">
        <f>+Zal_1_WPF_wg_RIO_Lodz!X14</f>
        <v>0</v>
      </c>
      <c r="AA19" s="90">
        <f>+Zal_1_WPF_wg_RIO_Lodz!Y14</f>
        <v>0</v>
      </c>
      <c r="AB19" s="90">
        <f>+Zal_1_WPF_wg_RIO_Lodz!Z14</f>
        <v>0</v>
      </c>
      <c r="AC19" s="90">
        <f>+Zal_1_WPF_wg_RIO_Lodz!AA14</f>
        <v>0</v>
      </c>
      <c r="AD19" s="90">
        <f>+Zal_1_WPF_wg_RIO_Lodz!AB14</f>
        <v>0</v>
      </c>
      <c r="AE19" s="90">
        <f>+Zal_1_WPF_wg_RIO_Lodz!AC14</f>
        <v>0</v>
      </c>
      <c r="AF19" s="90">
        <f>+Zal_1_WPF_wg_RIO_Lodz!AD14</f>
        <v>0</v>
      </c>
      <c r="AG19" s="90">
        <f>+Zal_1_WPF_wg_RIO_Lodz!AE14</f>
        <v>0</v>
      </c>
      <c r="AH19" s="90">
        <f>+Zal_1_WPF_wg_RIO_Lodz!AF14</f>
        <v>0</v>
      </c>
      <c r="AI19" s="90">
        <f>+Zal_1_WPF_wg_RIO_Lodz!AG14</f>
        <v>0</v>
      </c>
      <c r="AJ19" s="90">
        <f>+Zal_1_WPF_wg_RIO_Lodz!AH14</f>
        <v>0</v>
      </c>
    </row>
    <row r="20" spans="1:36" ht="28.5" customHeight="1">
      <c r="A20" s="273"/>
      <c r="B20" s="221"/>
      <c r="C20" s="201"/>
      <c r="D20" s="207" t="s">
        <v>24</v>
      </c>
      <c r="E20" s="291">
        <v>1881956</v>
      </c>
      <c r="F20" s="243">
        <v>677486.81</v>
      </c>
      <c r="G20" s="283">
        <f t="shared" si="0"/>
        <v>35.99907808684157</v>
      </c>
      <c r="H20" s="229">
        <f>+Zal_1_WPF_wg_RIO_Lodz!F24</f>
        <v>1881956</v>
      </c>
      <c r="I20" s="90">
        <v>1958464</v>
      </c>
      <c r="J20" s="90">
        <v>2062443</v>
      </c>
      <c r="K20" s="90">
        <v>2882988</v>
      </c>
      <c r="L20" s="90">
        <v>1828302</v>
      </c>
      <c r="M20" s="90">
        <v>1468586</v>
      </c>
      <c r="N20" s="90">
        <v>1110000</v>
      </c>
      <c r="O20" s="90">
        <v>744000</v>
      </c>
      <c r="P20" s="90">
        <v>372000</v>
      </c>
      <c r="Q20" s="90">
        <f>+Zal_1_WPF_wg_RIO_Lodz!O24</f>
        <v>0</v>
      </c>
      <c r="R20" s="90">
        <f>+Zal_1_WPF_wg_RIO_Lodz!P24</f>
        <v>0</v>
      </c>
      <c r="S20" s="90">
        <f>+Zal_1_WPF_wg_RIO_Lodz!Q24</f>
        <v>0</v>
      </c>
      <c r="T20" s="90">
        <f>+Zal_1_WPF_wg_RIO_Lodz!R24</f>
        <v>0</v>
      </c>
      <c r="U20" s="90">
        <f>+Zal_1_WPF_wg_RIO_Lodz!S24</f>
        <v>0</v>
      </c>
      <c r="V20" s="90">
        <f>+Zal_1_WPF_wg_RIO_Lodz!T24</f>
        <v>0</v>
      </c>
      <c r="W20" s="90">
        <f>+Zal_1_WPF_wg_RIO_Lodz!U24</f>
        <v>0</v>
      </c>
      <c r="X20" s="90">
        <f>+Zal_1_WPF_wg_RIO_Lodz!V24</f>
        <v>0</v>
      </c>
      <c r="Y20" s="90">
        <f>+Zal_1_WPF_wg_RIO_Lodz!W24</f>
        <v>0</v>
      </c>
      <c r="Z20" s="90">
        <f>+Zal_1_WPF_wg_RIO_Lodz!X24</f>
        <v>0</v>
      </c>
      <c r="AA20" s="90">
        <f>+Zal_1_WPF_wg_RIO_Lodz!Y24</f>
        <v>0</v>
      </c>
      <c r="AB20" s="90">
        <f>+Zal_1_WPF_wg_RIO_Lodz!Z24</f>
        <v>0</v>
      </c>
      <c r="AC20" s="90">
        <f>+Zal_1_WPF_wg_RIO_Lodz!AA24</f>
        <v>0</v>
      </c>
      <c r="AD20" s="90">
        <f>+Zal_1_WPF_wg_RIO_Lodz!AB24</f>
        <v>0</v>
      </c>
      <c r="AE20" s="90">
        <f>+Zal_1_WPF_wg_RIO_Lodz!AC24</f>
        <v>0</v>
      </c>
      <c r="AF20" s="90">
        <f>+Zal_1_WPF_wg_RIO_Lodz!AD24</f>
        <v>0</v>
      </c>
      <c r="AG20" s="90">
        <f>+Zal_1_WPF_wg_RIO_Lodz!AE24</f>
        <v>0</v>
      </c>
      <c r="AH20" s="90">
        <f>+Zal_1_WPF_wg_RIO_Lodz!AF24</f>
        <v>0</v>
      </c>
      <c r="AI20" s="90">
        <f>+Zal_1_WPF_wg_RIO_Lodz!AG24</f>
        <v>0</v>
      </c>
      <c r="AJ20" s="90">
        <f>+Zal_1_WPF_wg_RIO_Lodz!AH24</f>
        <v>0</v>
      </c>
    </row>
    <row r="21" spans="1:39" ht="17.25" customHeight="1" thickBot="1">
      <c r="A21" s="274"/>
      <c r="B21" s="263"/>
      <c r="C21" s="264" t="s">
        <v>143</v>
      </c>
      <c r="D21" s="265"/>
      <c r="E21" s="292">
        <v>20017830.72</v>
      </c>
      <c r="F21" s="248">
        <v>6738564.21</v>
      </c>
      <c r="G21" s="284">
        <f t="shared" si="0"/>
        <v>33.66280944351996</v>
      </c>
      <c r="H21" s="232">
        <f>+Zal_1_WPF_wg_RIO_Lodz!F27</f>
        <v>17330133</v>
      </c>
      <c r="I21" s="94">
        <v>16574943</v>
      </c>
      <c r="J21" s="94">
        <v>17800438</v>
      </c>
      <c r="K21" s="94">
        <v>12848592</v>
      </c>
      <c r="L21" s="94">
        <v>13798139</v>
      </c>
      <c r="M21" s="94">
        <v>15405217</v>
      </c>
      <c r="N21" s="94">
        <v>18389289</v>
      </c>
      <c r="O21" s="94">
        <v>21509269</v>
      </c>
      <c r="P21" s="94">
        <v>24290773</v>
      </c>
      <c r="Q21" s="94">
        <f>+Zal_1_WPF_wg_RIO_Lodz!O27</f>
        <v>0</v>
      </c>
      <c r="R21" s="94">
        <f>+Zal_1_WPF_wg_RIO_Lodz!P27</f>
        <v>0</v>
      </c>
      <c r="S21" s="94">
        <f>+Zal_1_WPF_wg_RIO_Lodz!Q27</f>
        <v>0</v>
      </c>
      <c r="T21" s="94">
        <f>+Zal_1_WPF_wg_RIO_Lodz!R27</f>
        <v>0</v>
      </c>
      <c r="U21" s="94">
        <f>+Zal_1_WPF_wg_RIO_Lodz!S27</f>
        <v>0</v>
      </c>
      <c r="V21" s="94">
        <f>+Zal_1_WPF_wg_RIO_Lodz!T27</f>
        <v>0</v>
      </c>
      <c r="W21" s="94">
        <f>+Zal_1_WPF_wg_RIO_Lodz!U27</f>
        <v>0</v>
      </c>
      <c r="X21" s="94">
        <f>+Zal_1_WPF_wg_RIO_Lodz!V27</f>
        <v>0</v>
      </c>
      <c r="Y21" s="94">
        <f>+Zal_1_WPF_wg_RIO_Lodz!W27</f>
        <v>0</v>
      </c>
      <c r="Z21" s="94">
        <f>+Zal_1_WPF_wg_RIO_Lodz!X27</f>
        <v>0</v>
      </c>
      <c r="AA21" s="94">
        <f>+Zal_1_WPF_wg_RIO_Lodz!Y27</f>
        <v>0</v>
      </c>
      <c r="AB21" s="94">
        <f>+Zal_1_WPF_wg_RIO_Lodz!Z27</f>
        <v>0</v>
      </c>
      <c r="AC21" s="94">
        <f>+Zal_1_WPF_wg_RIO_Lodz!AA27</f>
        <v>0</v>
      </c>
      <c r="AD21" s="94">
        <f>+Zal_1_WPF_wg_RIO_Lodz!AB27</f>
        <v>0</v>
      </c>
      <c r="AE21" s="94">
        <f>+Zal_1_WPF_wg_RIO_Lodz!AC27</f>
        <v>0</v>
      </c>
      <c r="AF21" s="94">
        <f>+Zal_1_WPF_wg_RIO_Lodz!AD27</f>
        <v>0</v>
      </c>
      <c r="AG21" s="94">
        <f>+Zal_1_WPF_wg_RIO_Lodz!AE27</f>
        <v>0</v>
      </c>
      <c r="AH21" s="94">
        <f>+Zal_1_WPF_wg_RIO_Lodz!AF27</f>
        <v>0</v>
      </c>
      <c r="AI21" s="94">
        <f>+Zal_1_WPF_wg_RIO_Lodz!AG27</f>
        <v>0</v>
      </c>
      <c r="AJ21" s="94">
        <f>+Zal_1_WPF_wg_RIO_Lodz!AH27</f>
        <v>0</v>
      </c>
      <c r="AM21" s="251"/>
    </row>
    <row r="22" spans="1:36" ht="19.5" customHeight="1">
      <c r="A22" s="259">
        <v>3</v>
      </c>
      <c r="B22" s="219" t="s">
        <v>144</v>
      </c>
      <c r="C22" s="199"/>
      <c r="D22" s="200"/>
      <c r="E22" s="293">
        <f>E11-E15</f>
        <v>-3724574</v>
      </c>
      <c r="F22" s="242">
        <f>SUM(F11-F15)</f>
        <v>5557436.289999999</v>
      </c>
      <c r="G22" s="279"/>
      <c r="H22" s="228">
        <f aca="true" t="shared" si="5" ref="H22:P22">H11-H15</f>
        <v>-1189175.4399999976</v>
      </c>
      <c r="I22" s="89">
        <f t="shared" si="5"/>
        <v>-1262188</v>
      </c>
      <c r="J22" s="89">
        <f t="shared" si="5"/>
        <v>-1598310</v>
      </c>
      <c r="K22" s="89">
        <f t="shared" si="5"/>
        <v>5979257</v>
      </c>
      <c r="L22" s="89">
        <f t="shared" si="5"/>
        <v>6093547</v>
      </c>
      <c r="M22" s="89">
        <f t="shared" si="5"/>
        <v>6524716</v>
      </c>
      <c r="N22" s="89">
        <f t="shared" si="5"/>
        <v>6390000</v>
      </c>
      <c r="O22" s="89">
        <f t="shared" si="5"/>
        <v>6440000</v>
      </c>
      <c r="P22" s="89">
        <f t="shared" si="5"/>
        <v>3991191</v>
      </c>
      <c r="Q22" s="89">
        <f aca="true" t="shared" si="6" ref="Q22:AJ22">Q11-Q15</f>
        <v>0</v>
      </c>
      <c r="R22" s="89">
        <f t="shared" si="6"/>
        <v>0</v>
      </c>
      <c r="S22" s="89">
        <f t="shared" si="6"/>
        <v>0</v>
      </c>
      <c r="T22" s="89">
        <f t="shared" si="6"/>
        <v>0</v>
      </c>
      <c r="U22" s="89">
        <f t="shared" si="6"/>
        <v>0</v>
      </c>
      <c r="V22" s="89">
        <f t="shared" si="6"/>
        <v>0</v>
      </c>
      <c r="W22" s="89">
        <f t="shared" si="6"/>
        <v>0</v>
      </c>
      <c r="X22" s="89">
        <f t="shared" si="6"/>
        <v>0</v>
      </c>
      <c r="Y22" s="89">
        <f t="shared" si="6"/>
        <v>0</v>
      </c>
      <c r="Z22" s="89">
        <f t="shared" si="6"/>
        <v>0</v>
      </c>
      <c r="AA22" s="89">
        <f t="shared" si="6"/>
        <v>0</v>
      </c>
      <c r="AB22" s="89">
        <f t="shared" si="6"/>
        <v>0</v>
      </c>
      <c r="AC22" s="89">
        <f t="shared" si="6"/>
        <v>0</v>
      </c>
      <c r="AD22" s="89">
        <f t="shared" si="6"/>
        <v>0</v>
      </c>
      <c r="AE22" s="89">
        <f t="shared" si="6"/>
        <v>0</v>
      </c>
      <c r="AF22" s="89">
        <f t="shared" si="6"/>
        <v>0</v>
      </c>
      <c r="AG22" s="89">
        <f t="shared" si="6"/>
        <v>0</v>
      </c>
      <c r="AH22" s="89">
        <f t="shared" si="6"/>
        <v>0</v>
      </c>
      <c r="AI22" s="89">
        <f t="shared" si="6"/>
        <v>0</v>
      </c>
      <c r="AJ22" s="89">
        <f t="shared" si="6"/>
        <v>0</v>
      </c>
    </row>
    <row r="23" spans="1:36" ht="21" customHeight="1" thickBot="1">
      <c r="A23" s="266">
        <v>4</v>
      </c>
      <c r="B23" s="211" t="s">
        <v>145</v>
      </c>
      <c r="C23" s="212"/>
      <c r="D23" s="213"/>
      <c r="E23" s="294">
        <f>+E12-E16</f>
        <v>16273256.719999999</v>
      </c>
      <c r="F23" s="246">
        <f>SUM(F12-F16)</f>
        <v>12113134.829999998</v>
      </c>
      <c r="G23" s="281"/>
      <c r="H23" s="232">
        <f aca="true" t="shared" si="7" ref="H23:P23">+H12-H16</f>
        <v>16120957.560000002</v>
      </c>
      <c r="I23" s="94">
        <f t="shared" si="7"/>
        <v>15312755</v>
      </c>
      <c r="J23" s="94">
        <f t="shared" si="7"/>
        <v>16202128</v>
      </c>
      <c r="K23" s="94">
        <f t="shared" si="7"/>
        <v>18827849</v>
      </c>
      <c r="L23" s="94">
        <f t="shared" si="7"/>
        <v>19891686</v>
      </c>
      <c r="M23" s="94">
        <f t="shared" si="7"/>
        <v>21929933</v>
      </c>
      <c r="N23" s="94">
        <f t="shared" si="7"/>
        <v>24779289</v>
      </c>
      <c r="O23" s="94">
        <f t="shared" si="7"/>
        <v>27949269</v>
      </c>
      <c r="P23" s="94">
        <f t="shared" si="7"/>
        <v>28281964</v>
      </c>
      <c r="Q23" s="94">
        <f aca="true" t="shared" si="8" ref="Q23:AJ23">+Q12-Q16</f>
        <v>0</v>
      </c>
      <c r="R23" s="94">
        <f t="shared" si="8"/>
        <v>0</v>
      </c>
      <c r="S23" s="94">
        <f t="shared" si="8"/>
        <v>0</v>
      </c>
      <c r="T23" s="94">
        <f t="shared" si="8"/>
        <v>0</v>
      </c>
      <c r="U23" s="94">
        <f t="shared" si="8"/>
        <v>0</v>
      </c>
      <c r="V23" s="94">
        <f t="shared" si="8"/>
        <v>0</v>
      </c>
      <c r="W23" s="94">
        <f t="shared" si="8"/>
        <v>0</v>
      </c>
      <c r="X23" s="94">
        <f t="shared" si="8"/>
        <v>0</v>
      </c>
      <c r="Y23" s="94">
        <f t="shared" si="8"/>
        <v>0</v>
      </c>
      <c r="Z23" s="94">
        <f t="shared" si="8"/>
        <v>0</v>
      </c>
      <c r="AA23" s="94">
        <f t="shared" si="8"/>
        <v>0</v>
      </c>
      <c r="AB23" s="94">
        <f t="shared" si="8"/>
        <v>0</v>
      </c>
      <c r="AC23" s="94">
        <f t="shared" si="8"/>
        <v>0</v>
      </c>
      <c r="AD23" s="94">
        <f t="shared" si="8"/>
        <v>0</v>
      </c>
      <c r="AE23" s="94">
        <f t="shared" si="8"/>
        <v>0</v>
      </c>
      <c r="AF23" s="94">
        <f t="shared" si="8"/>
        <v>0</v>
      </c>
      <c r="AG23" s="94">
        <f t="shared" si="8"/>
        <v>0</v>
      </c>
      <c r="AH23" s="94">
        <f t="shared" si="8"/>
        <v>0</v>
      </c>
      <c r="AI23" s="94">
        <f t="shared" si="8"/>
        <v>0</v>
      </c>
      <c r="AJ23" s="94">
        <f t="shared" si="8"/>
        <v>0</v>
      </c>
    </row>
    <row r="24" spans="1:36" ht="13.5" customHeight="1">
      <c r="A24" s="271">
        <v>5</v>
      </c>
      <c r="B24" s="238" t="s">
        <v>146</v>
      </c>
      <c r="C24" s="239"/>
      <c r="D24" s="240"/>
      <c r="E24" s="289">
        <v>10100000</v>
      </c>
      <c r="F24" s="247">
        <f>SUM(F27+F25)</f>
        <v>8080006.03</v>
      </c>
      <c r="G24" s="282">
        <f>SUM(F24/E24)*100</f>
        <v>80.00005970297029</v>
      </c>
      <c r="H24" s="228">
        <f>+Zal_1_WPF_wg_RIO_Lodz!F51</f>
        <v>12700000</v>
      </c>
      <c r="I24" s="89">
        <f>+Zal_1_WPF_wg_RIO_Lodz!G51</f>
        <v>8000000</v>
      </c>
      <c r="J24" s="89">
        <f>+Zal_1_WPF_wg_RIO_Lodz!H51</f>
        <v>8000000</v>
      </c>
      <c r="K24" s="89">
        <f>+Zal_1_WPF_wg_RIO_Lodz!I51</f>
        <v>0</v>
      </c>
      <c r="L24" s="89">
        <f>+Zal_1_WPF_wg_RIO_Lodz!J51</f>
        <v>0</v>
      </c>
      <c r="M24" s="89">
        <f>+Zal_1_WPF_wg_RIO_Lodz!K51</f>
        <v>0</v>
      </c>
      <c r="N24" s="89">
        <f>+Zal_1_WPF_wg_RIO_Lodz!L51</f>
        <v>0</v>
      </c>
      <c r="O24" s="89">
        <f>+Zal_1_WPF_wg_RIO_Lodz!M51</f>
        <v>0</v>
      </c>
      <c r="P24" s="89">
        <f>+Zal_1_WPF_wg_RIO_Lodz!N51</f>
        <v>0</v>
      </c>
      <c r="Q24" s="89">
        <f>+Zal_1_WPF_wg_RIO_Lodz!O51</f>
        <v>0</v>
      </c>
      <c r="R24" s="89">
        <f>+Zal_1_WPF_wg_RIO_Lodz!P51</f>
        <v>0</v>
      </c>
      <c r="S24" s="89">
        <f>+Zal_1_WPF_wg_RIO_Lodz!Q51</f>
        <v>0</v>
      </c>
      <c r="T24" s="89">
        <f>+Zal_1_WPF_wg_RIO_Lodz!R51</f>
        <v>0</v>
      </c>
      <c r="U24" s="89">
        <f>+Zal_1_WPF_wg_RIO_Lodz!S51</f>
        <v>0</v>
      </c>
      <c r="V24" s="89">
        <f>+Zal_1_WPF_wg_RIO_Lodz!T51</f>
        <v>0</v>
      </c>
      <c r="W24" s="89">
        <f>+Zal_1_WPF_wg_RIO_Lodz!U51</f>
        <v>0</v>
      </c>
      <c r="X24" s="89">
        <f>+Zal_1_WPF_wg_RIO_Lodz!V51</f>
        <v>0</v>
      </c>
      <c r="Y24" s="89">
        <f>+Zal_1_WPF_wg_RIO_Lodz!W51</f>
        <v>0</v>
      </c>
      <c r="Z24" s="89">
        <f>+Zal_1_WPF_wg_RIO_Lodz!X51</f>
        <v>0</v>
      </c>
      <c r="AA24" s="89">
        <f>+Zal_1_WPF_wg_RIO_Lodz!Y51</f>
        <v>0</v>
      </c>
      <c r="AB24" s="89">
        <f>+Zal_1_WPF_wg_RIO_Lodz!Z51</f>
        <v>0</v>
      </c>
      <c r="AC24" s="89">
        <f>+Zal_1_WPF_wg_RIO_Lodz!AA51</f>
        <v>0</v>
      </c>
      <c r="AD24" s="89">
        <f>+Zal_1_WPF_wg_RIO_Lodz!AB51</f>
        <v>0</v>
      </c>
      <c r="AE24" s="89">
        <f>+Zal_1_WPF_wg_RIO_Lodz!AC51</f>
        <v>0</v>
      </c>
      <c r="AF24" s="89">
        <f>+Zal_1_WPF_wg_RIO_Lodz!AD51</f>
        <v>0</v>
      </c>
      <c r="AG24" s="89">
        <f>+Zal_1_WPF_wg_RIO_Lodz!AE51</f>
        <v>0</v>
      </c>
      <c r="AH24" s="89">
        <f>+Zal_1_WPF_wg_RIO_Lodz!AF51</f>
        <v>0</v>
      </c>
      <c r="AI24" s="89">
        <f>+Zal_1_WPF_wg_RIO_Lodz!AG51</f>
        <v>0</v>
      </c>
      <c r="AJ24" s="89">
        <f>+Zal_1_WPF_wg_RIO_Lodz!AH51</f>
        <v>0</v>
      </c>
    </row>
    <row r="25" spans="1:36" ht="15.75">
      <c r="A25" s="260"/>
      <c r="B25" s="222"/>
      <c r="C25" s="357" t="s">
        <v>18</v>
      </c>
      <c r="D25" s="358"/>
      <c r="E25" s="290">
        <v>1300000</v>
      </c>
      <c r="F25" s="245">
        <v>8080006.03</v>
      </c>
      <c r="G25" s="283">
        <f>SUM(F25/E25)*100</f>
        <v>621.5389253846154</v>
      </c>
      <c r="H25" s="231">
        <f>+Zal_1_WPF_wg_RIO_Lodz!F17</f>
        <v>0</v>
      </c>
      <c r="I25" s="92">
        <f>+Zal_1_WPF_wg_RIO_Lodz!G17</f>
        <v>0</v>
      </c>
      <c r="J25" s="92">
        <f>+Zal_1_WPF_wg_RIO_Lodz!H17</f>
        <v>0</v>
      </c>
      <c r="K25" s="92">
        <f>+Zal_1_WPF_wg_RIO_Lodz!I17</f>
        <v>0</v>
      </c>
      <c r="L25" s="92">
        <f>+Zal_1_WPF_wg_RIO_Lodz!J17</f>
        <v>0</v>
      </c>
      <c r="M25" s="92">
        <f>+Zal_1_WPF_wg_RIO_Lodz!K17</f>
        <v>0</v>
      </c>
      <c r="N25" s="92">
        <f>+Zal_1_WPF_wg_RIO_Lodz!L17</f>
        <v>0</v>
      </c>
      <c r="O25" s="92">
        <f>+Zal_1_WPF_wg_RIO_Lodz!M17</f>
        <v>0</v>
      </c>
      <c r="P25" s="92">
        <f>+Zal_1_WPF_wg_RIO_Lodz!N17</f>
        <v>0</v>
      </c>
      <c r="Q25" s="92">
        <f>+Zal_1_WPF_wg_RIO_Lodz!O17</f>
        <v>0</v>
      </c>
      <c r="R25" s="92">
        <f>+Zal_1_WPF_wg_RIO_Lodz!P17</f>
        <v>0</v>
      </c>
      <c r="S25" s="92">
        <f>+Zal_1_WPF_wg_RIO_Lodz!Q17</f>
        <v>0</v>
      </c>
      <c r="T25" s="92">
        <f>+Zal_1_WPF_wg_RIO_Lodz!R17</f>
        <v>0</v>
      </c>
      <c r="U25" s="92">
        <f>+Zal_1_WPF_wg_RIO_Lodz!S17</f>
        <v>0</v>
      </c>
      <c r="V25" s="92">
        <f>+Zal_1_WPF_wg_RIO_Lodz!T17</f>
        <v>0</v>
      </c>
      <c r="W25" s="92">
        <f>+Zal_1_WPF_wg_RIO_Lodz!U17</f>
        <v>0</v>
      </c>
      <c r="X25" s="92">
        <f>+Zal_1_WPF_wg_RIO_Lodz!V17</f>
        <v>0</v>
      </c>
      <c r="Y25" s="92">
        <f>+Zal_1_WPF_wg_RIO_Lodz!W17</f>
        <v>0</v>
      </c>
      <c r="Z25" s="92">
        <f>+Zal_1_WPF_wg_RIO_Lodz!X17</f>
        <v>0</v>
      </c>
      <c r="AA25" s="92">
        <f>+Zal_1_WPF_wg_RIO_Lodz!Y17</f>
        <v>0</v>
      </c>
      <c r="AB25" s="92">
        <f>+Zal_1_WPF_wg_RIO_Lodz!Z17</f>
        <v>0</v>
      </c>
      <c r="AC25" s="92">
        <f>+Zal_1_WPF_wg_RIO_Lodz!AA17</f>
        <v>0</v>
      </c>
      <c r="AD25" s="92">
        <f>+Zal_1_WPF_wg_RIO_Lodz!AB17</f>
        <v>0</v>
      </c>
      <c r="AE25" s="92">
        <f>+Zal_1_WPF_wg_RIO_Lodz!AC17</f>
        <v>0</v>
      </c>
      <c r="AF25" s="92">
        <f>+Zal_1_WPF_wg_RIO_Lodz!AD17</f>
        <v>0</v>
      </c>
      <c r="AG25" s="92">
        <f>+Zal_1_WPF_wg_RIO_Lodz!AE17</f>
        <v>0</v>
      </c>
      <c r="AH25" s="92">
        <f>+Zal_1_WPF_wg_RIO_Lodz!AF17</f>
        <v>0</v>
      </c>
      <c r="AI25" s="92">
        <f>+Zal_1_WPF_wg_RIO_Lodz!AG17</f>
        <v>0</v>
      </c>
      <c r="AJ25" s="92">
        <f>+Zal_1_WPF_wg_RIO_Lodz!AH17</f>
        <v>0</v>
      </c>
    </row>
    <row r="26" spans="1:36" ht="78.75">
      <c r="A26" s="260"/>
      <c r="B26" s="223"/>
      <c r="C26" s="206"/>
      <c r="D26" s="214" t="s">
        <v>147</v>
      </c>
      <c r="E26" s="291">
        <v>1300000</v>
      </c>
      <c r="F26" s="243">
        <v>8080006.03</v>
      </c>
      <c r="G26" s="283">
        <f>SUM(F26/E26)*100</f>
        <v>621.5389253846154</v>
      </c>
      <c r="H26" s="229">
        <f>+Zal_1_WPF_wg_RIO_Lodz!F18</f>
        <v>0</v>
      </c>
      <c r="I26" s="90">
        <f>+Zal_1_WPF_wg_RIO_Lodz!G18</f>
        <v>0</v>
      </c>
      <c r="J26" s="90">
        <f>+Zal_1_WPF_wg_RIO_Lodz!H18</f>
        <v>0</v>
      </c>
      <c r="K26" s="90">
        <f>+Zal_1_WPF_wg_RIO_Lodz!I18</f>
        <v>0</v>
      </c>
      <c r="L26" s="90">
        <f>+Zal_1_WPF_wg_RIO_Lodz!J18</f>
        <v>0</v>
      </c>
      <c r="M26" s="90">
        <f>+Zal_1_WPF_wg_RIO_Lodz!K18</f>
        <v>0</v>
      </c>
      <c r="N26" s="90">
        <f>+Zal_1_WPF_wg_RIO_Lodz!L18</f>
        <v>0</v>
      </c>
      <c r="O26" s="90">
        <f>+Zal_1_WPF_wg_RIO_Lodz!M18</f>
        <v>0</v>
      </c>
      <c r="P26" s="90">
        <f>+Zal_1_WPF_wg_RIO_Lodz!N18</f>
        <v>0</v>
      </c>
      <c r="Q26" s="90">
        <f>+Zal_1_WPF_wg_RIO_Lodz!O18</f>
        <v>0</v>
      </c>
      <c r="R26" s="90">
        <f>+Zal_1_WPF_wg_RIO_Lodz!P18</f>
        <v>0</v>
      </c>
      <c r="S26" s="90">
        <f>+Zal_1_WPF_wg_RIO_Lodz!Q18</f>
        <v>0</v>
      </c>
      <c r="T26" s="90">
        <f>+Zal_1_WPF_wg_RIO_Lodz!R18</f>
        <v>0</v>
      </c>
      <c r="U26" s="90">
        <f>+Zal_1_WPF_wg_RIO_Lodz!S18</f>
        <v>0</v>
      </c>
      <c r="V26" s="90">
        <f>+Zal_1_WPF_wg_RIO_Lodz!T18</f>
        <v>0</v>
      </c>
      <c r="W26" s="90">
        <f>+Zal_1_WPF_wg_RIO_Lodz!U18</f>
        <v>0</v>
      </c>
      <c r="X26" s="90">
        <f>+Zal_1_WPF_wg_RIO_Lodz!V18</f>
        <v>0</v>
      </c>
      <c r="Y26" s="90">
        <f>+Zal_1_WPF_wg_RIO_Lodz!W18</f>
        <v>0</v>
      </c>
      <c r="Z26" s="90">
        <f>+Zal_1_WPF_wg_RIO_Lodz!X18</f>
        <v>0</v>
      </c>
      <c r="AA26" s="90">
        <f>+Zal_1_WPF_wg_RIO_Lodz!Y18</f>
        <v>0</v>
      </c>
      <c r="AB26" s="90">
        <f>+Zal_1_WPF_wg_RIO_Lodz!Z18</f>
        <v>0</v>
      </c>
      <c r="AC26" s="90">
        <f>+Zal_1_WPF_wg_RIO_Lodz!AA18</f>
        <v>0</v>
      </c>
      <c r="AD26" s="90">
        <f>+Zal_1_WPF_wg_RIO_Lodz!AB18</f>
        <v>0</v>
      </c>
      <c r="AE26" s="90">
        <f>+Zal_1_WPF_wg_RIO_Lodz!AC18</f>
        <v>0</v>
      </c>
      <c r="AF26" s="90">
        <f>+Zal_1_WPF_wg_RIO_Lodz!AD18</f>
        <v>0</v>
      </c>
      <c r="AG26" s="90">
        <f>+Zal_1_WPF_wg_RIO_Lodz!AE18</f>
        <v>0</v>
      </c>
      <c r="AH26" s="90">
        <f>+Zal_1_WPF_wg_RIO_Lodz!AF18</f>
        <v>0</v>
      </c>
      <c r="AI26" s="90">
        <f>+Zal_1_WPF_wg_RIO_Lodz!AG18</f>
        <v>0</v>
      </c>
      <c r="AJ26" s="90">
        <f>+Zal_1_WPF_wg_RIO_Lodz!AH18</f>
        <v>0</v>
      </c>
    </row>
    <row r="27" spans="1:36" ht="28.5" customHeight="1">
      <c r="A27" s="260"/>
      <c r="B27" s="222"/>
      <c r="C27" s="367" t="s">
        <v>32</v>
      </c>
      <c r="D27" s="368"/>
      <c r="E27" s="290">
        <f>+Zal_1_WPF_wg_RIO_Lodz!E29</f>
        <v>8800000</v>
      </c>
      <c r="F27" s="245">
        <v>0</v>
      </c>
      <c r="G27" s="283">
        <f>SUM(F27/E27)*100</f>
        <v>0</v>
      </c>
      <c r="H27" s="231">
        <f>+Zal_1_WPF_wg_RIO_Lodz!F29</f>
        <v>12700000</v>
      </c>
      <c r="I27" s="92">
        <f>+Zal_1_WPF_wg_RIO_Lodz!G29</f>
        <v>8000000</v>
      </c>
      <c r="J27" s="92">
        <f>+Zal_1_WPF_wg_RIO_Lodz!H29</f>
        <v>8000000</v>
      </c>
      <c r="K27" s="92">
        <f>+Zal_1_WPF_wg_RIO_Lodz!I29</f>
        <v>0</v>
      </c>
      <c r="L27" s="92">
        <f>+Zal_1_WPF_wg_RIO_Lodz!J29</f>
        <v>0</v>
      </c>
      <c r="M27" s="92">
        <f>+Zal_1_WPF_wg_RIO_Lodz!K29</f>
        <v>0</v>
      </c>
      <c r="N27" s="92">
        <f>+Zal_1_WPF_wg_RIO_Lodz!L29</f>
        <v>0</v>
      </c>
      <c r="O27" s="92">
        <f>+Zal_1_WPF_wg_RIO_Lodz!M29</f>
        <v>0</v>
      </c>
      <c r="P27" s="92">
        <f>+Zal_1_WPF_wg_RIO_Lodz!N29</f>
        <v>0</v>
      </c>
      <c r="Q27" s="92">
        <f>+Zal_1_WPF_wg_RIO_Lodz!O29</f>
        <v>0</v>
      </c>
      <c r="R27" s="92">
        <f>+Zal_1_WPF_wg_RIO_Lodz!P29</f>
        <v>0</v>
      </c>
      <c r="S27" s="92">
        <f>+Zal_1_WPF_wg_RIO_Lodz!Q29</f>
        <v>0</v>
      </c>
      <c r="T27" s="92">
        <f>+Zal_1_WPF_wg_RIO_Lodz!R29</f>
        <v>0</v>
      </c>
      <c r="U27" s="92">
        <f>+Zal_1_WPF_wg_RIO_Lodz!S29</f>
        <v>0</v>
      </c>
      <c r="V27" s="92">
        <f>+Zal_1_WPF_wg_RIO_Lodz!T29</f>
        <v>0</v>
      </c>
      <c r="W27" s="92">
        <f>+Zal_1_WPF_wg_RIO_Lodz!U29</f>
        <v>0</v>
      </c>
      <c r="X27" s="92">
        <f>+Zal_1_WPF_wg_RIO_Lodz!V29</f>
        <v>0</v>
      </c>
      <c r="Y27" s="92">
        <f>+Zal_1_WPF_wg_RIO_Lodz!W29</f>
        <v>0</v>
      </c>
      <c r="Z27" s="92">
        <f>+Zal_1_WPF_wg_RIO_Lodz!X29</f>
        <v>0</v>
      </c>
      <c r="AA27" s="92">
        <f>+Zal_1_WPF_wg_RIO_Lodz!Y29</f>
        <v>0</v>
      </c>
      <c r="AB27" s="92">
        <f>+Zal_1_WPF_wg_RIO_Lodz!Z29</f>
        <v>0</v>
      </c>
      <c r="AC27" s="92">
        <f>+Zal_1_WPF_wg_RIO_Lodz!AA29</f>
        <v>0</v>
      </c>
      <c r="AD27" s="92">
        <f>+Zal_1_WPF_wg_RIO_Lodz!AB29</f>
        <v>0</v>
      </c>
      <c r="AE27" s="92">
        <f>+Zal_1_WPF_wg_RIO_Lodz!AC29</f>
        <v>0</v>
      </c>
      <c r="AF27" s="92">
        <f>+Zal_1_WPF_wg_RIO_Lodz!AD29</f>
        <v>0</v>
      </c>
      <c r="AG27" s="92">
        <f>+Zal_1_WPF_wg_RIO_Lodz!AE29</f>
        <v>0</v>
      </c>
      <c r="AH27" s="92">
        <f>+Zal_1_WPF_wg_RIO_Lodz!AF29</f>
        <v>0</v>
      </c>
      <c r="AI27" s="92">
        <f>+Zal_1_WPF_wg_RIO_Lodz!AG29</f>
        <v>0</v>
      </c>
      <c r="AJ27" s="92">
        <f>+Zal_1_WPF_wg_RIO_Lodz!AH29</f>
        <v>0</v>
      </c>
    </row>
    <row r="28" spans="1:36" ht="33" customHeight="1" thickBot="1">
      <c r="A28" s="275"/>
      <c r="B28" s="267"/>
      <c r="C28" s="365" t="s">
        <v>148</v>
      </c>
      <c r="D28" s="366"/>
      <c r="E28" s="292">
        <f>+Zal_1_WPF_wg_RIO_Lodz!E19</f>
        <v>0</v>
      </c>
      <c r="F28" s="248">
        <v>0</v>
      </c>
      <c r="G28" s="285">
        <v>0</v>
      </c>
      <c r="H28" s="232">
        <f>+Zal_1_WPF_wg_RIO_Lodz!F19</f>
        <v>0</v>
      </c>
      <c r="I28" s="94">
        <f>+Zal_1_WPF_wg_RIO_Lodz!G19</f>
        <v>0</v>
      </c>
      <c r="J28" s="94">
        <f>+Zal_1_WPF_wg_RIO_Lodz!H19</f>
        <v>0</v>
      </c>
      <c r="K28" s="94">
        <f>+Zal_1_WPF_wg_RIO_Lodz!I19</f>
        <v>0</v>
      </c>
      <c r="L28" s="94">
        <f>+Zal_1_WPF_wg_RIO_Lodz!J19</f>
        <v>0</v>
      </c>
      <c r="M28" s="94">
        <f>+Zal_1_WPF_wg_RIO_Lodz!K19</f>
        <v>0</v>
      </c>
      <c r="N28" s="94">
        <f>+Zal_1_WPF_wg_RIO_Lodz!L19</f>
        <v>0</v>
      </c>
      <c r="O28" s="94">
        <f>+Zal_1_WPF_wg_RIO_Lodz!M19</f>
        <v>0</v>
      </c>
      <c r="P28" s="94">
        <f>+Zal_1_WPF_wg_RIO_Lodz!N19</f>
        <v>0</v>
      </c>
      <c r="Q28" s="94">
        <f>+Zal_1_WPF_wg_RIO_Lodz!O19</f>
        <v>0</v>
      </c>
      <c r="R28" s="94">
        <f>+Zal_1_WPF_wg_RIO_Lodz!P19</f>
        <v>0</v>
      </c>
      <c r="S28" s="94">
        <f>+Zal_1_WPF_wg_RIO_Lodz!Q19</f>
        <v>0</v>
      </c>
      <c r="T28" s="94">
        <f>+Zal_1_WPF_wg_RIO_Lodz!R19</f>
        <v>0</v>
      </c>
      <c r="U28" s="94">
        <f>+Zal_1_WPF_wg_RIO_Lodz!S19</f>
        <v>0</v>
      </c>
      <c r="V28" s="94">
        <f>+Zal_1_WPF_wg_RIO_Lodz!T19</f>
        <v>0</v>
      </c>
      <c r="W28" s="94">
        <f>+Zal_1_WPF_wg_RIO_Lodz!U19</f>
        <v>0</v>
      </c>
      <c r="X28" s="94">
        <f>+Zal_1_WPF_wg_RIO_Lodz!V19</f>
        <v>0</v>
      </c>
      <c r="Y28" s="94">
        <f>+Zal_1_WPF_wg_RIO_Lodz!W19</f>
        <v>0</v>
      </c>
      <c r="Z28" s="94">
        <f>+Zal_1_WPF_wg_RIO_Lodz!X19</f>
        <v>0</v>
      </c>
      <c r="AA28" s="94">
        <f>+Zal_1_WPF_wg_RIO_Lodz!Y19</f>
        <v>0</v>
      </c>
      <c r="AB28" s="94">
        <f>+Zal_1_WPF_wg_RIO_Lodz!Z19</f>
        <v>0</v>
      </c>
      <c r="AC28" s="94">
        <f>+Zal_1_WPF_wg_RIO_Lodz!AA19</f>
        <v>0</v>
      </c>
      <c r="AD28" s="94">
        <f>+Zal_1_WPF_wg_RIO_Lodz!AB19</f>
        <v>0</v>
      </c>
      <c r="AE28" s="94">
        <f>+Zal_1_WPF_wg_RIO_Lodz!AC19</f>
        <v>0</v>
      </c>
      <c r="AF28" s="94">
        <f>+Zal_1_WPF_wg_RIO_Lodz!AD19</f>
        <v>0</v>
      </c>
      <c r="AG28" s="94">
        <f>+Zal_1_WPF_wg_RIO_Lodz!AE19</f>
        <v>0</v>
      </c>
      <c r="AH28" s="94">
        <f>+Zal_1_WPF_wg_RIO_Lodz!AF19</f>
        <v>0</v>
      </c>
      <c r="AI28" s="94">
        <f>+Zal_1_WPF_wg_RIO_Lodz!AG19</f>
        <v>0</v>
      </c>
      <c r="AJ28" s="94">
        <f>+Zal_1_WPF_wg_RIO_Lodz!AH19</f>
        <v>0</v>
      </c>
    </row>
    <row r="29" spans="1:36" ht="18.75" customHeight="1">
      <c r="A29" s="268">
        <v>6</v>
      </c>
      <c r="B29" s="269" t="s">
        <v>149</v>
      </c>
      <c r="C29" s="269"/>
      <c r="D29" s="200"/>
      <c r="E29" s="293">
        <f>E30+E32</f>
        <v>6375426</v>
      </c>
      <c r="F29" s="242">
        <v>2877358.82</v>
      </c>
      <c r="G29" s="279">
        <f>SUM(F29/E29)*100</f>
        <v>45.132024432563405</v>
      </c>
      <c r="H29" s="233">
        <f aca="true" t="shared" si="9" ref="H29:P29">H30+H32</f>
        <v>6075426</v>
      </c>
      <c r="I29" s="95">
        <f t="shared" si="9"/>
        <v>6737812</v>
      </c>
      <c r="J29" s="95">
        <f t="shared" si="9"/>
        <v>6401690</v>
      </c>
      <c r="K29" s="95">
        <f t="shared" si="9"/>
        <v>5979257</v>
      </c>
      <c r="L29" s="95">
        <f t="shared" si="9"/>
        <v>6093547</v>
      </c>
      <c r="M29" s="95">
        <f t="shared" si="9"/>
        <v>6524716</v>
      </c>
      <c r="N29" s="95">
        <f t="shared" si="9"/>
        <v>6390000</v>
      </c>
      <c r="O29" s="95">
        <f t="shared" si="9"/>
        <v>6440000</v>
      </c>
      <c r="P29" s="95">
        <f t="shared" si="9"/>
        <v>8191191</v>
      </c>
      <c r="Q29" s="95">
        <f aca="true" t="shared" si="10" ref="Q29:AJ29">Q30+Q32</f>
        <v>0</v>
      </c>
      <c r="R29" s="95">
        <f t="shared" si="10"/>
        <v>0</v>
      </c>
      <c r="S29" s="95">
        <f t="shared" si="10"/>
        <v>0</v>
      </c>
      <c r="T29" s="95">
        <f t="shared" si="10"/>
        <v>0</v>
      </c>
      <c r="U29" s="95">
        <f t="shared" si="10"/>
        <v>0</v>
      </c>
      <c r="V29" s="95">
        <f t="shared" si="10"/>
        <v>0</v>
      </c>
      <c r="W29" s="95">
        <f t="shared" si="10"/>
        <v>0</v>
      </c>
      <c r="X29" s="95">
        <f t="shared" si="10"/>
        <v>0</v>
      </c>
      <c r="Y29" s="95">
        <f t="shared" si="10"/>
        <v>0</v>
      </c>
      <c r="Z29" s="95">
        <f t="shared" si="10"/>
        <v>0</v>
      </c>
      <c r="AA29" s="95">
        <f t="shared" si="10"/>
        <v>0</v>
      </c>
      <c r="AB29" s="95">
        <f t="shared" si="10"/>
        <v>0</v>
      </c>
      <c r="AC29" s="95">
        <f t="shared" si="10"/>
        <v>0</v>
      </c>
      <c r="AD29" s="95">
        <f t="shared" si="10"/>
        <v>0</v>
      </c>
      <c r="AE29" s="95">
        <f t="shared" si="10"/>
        <v>0</v>
      </c>
      <c r="AF29" s="95">
        <f t="shared" si="10"/>
        <v>0</v>
      </c>
      <c r="AG29" s="95">
        <f t="shared" si="10"/>
        <v>0</v>
      </c>
      <c r="AH29" s="95">
        <f t="shared" si="10"/>
        <v>0</v>
      </c>
      <c r="AI29" s="95">
        <f t="shared" si="10"/>
        <v>0</v>
      </c>
      <c r="AJ29" s="95">
        <f t="shared" si="10"/>
        <v>0</v>
      </c>
    </row>
    <row r="30" spans="1:36" ht="42.75" customHeight="1">
      <c r="A30" s="260"/>
      <c r="B30" s="223"/>
      <c r="C30" s="357" t="s">
        <v>150</v>
      </c>
      <c r="D30" s="358"/>
      <c r="E30" s="291">
        <v>6375426</v>
      </c>
      <c r="F30" s="243">
        <v>2449998.98</v>
      </c>
      <c r="G30" s="283">
        <f>SUM(F30/E30)*100</f>
        <v>38.42878860173422</v>
      </c>
      <c r="H30" s="229">
        <f>+Zal_1_WPF_wg_RIO_Lodz!F22</f>
        <v>6075426</v>
      </c>
      <c r="I30" s="90">
        <f>+Zal_1_WPF_wg_RIO_Lodz!G22</f>
        <v>6737812</v>
      </c>
      <c r="J30" s="90">
        <f>+Zal_1_WPF_wg_RIO_Lodz!H22</f>
        <v>6401690</v>
      </c>
      <c r="K30" s="90">
        <f>+Zal_1_WPF_wg_RIO_Lodz!I22</f>
        <v>5979257</v>
      </c>
      <c r="L30" s="90">
        <f>+Zal_1_WPF_wg_RIO_Lodz!J22</f>
        <v>6093547</v>
      </c>
      <c r="M30" s="90">
        <f>+Zal_1_WPF_wg_RIO_Lodz!K22</f>
        <v>6524716</v>
      </c>
      <c r="N30" s="90">
        <f>+Zal_1_WPF_wg_RIO_Lodz!L22</f>
        <v>6390000</v>
      </c>
      <c r="O30" s="90">
        <f>+Zal_1_WPF_wg_RIO_Lodz!M22</f>
        <v>6440000</v>
      </c>
      <c r="P30" s="90">
        <v>8191191</v>
      </c>
      <c r="Q30" s="90">
        <f>+Zal_1_WPF_wg_RIO_Lodz!O22</f>
        <v>0</v>
      </c>
      <c r="R30" s="90">
        <f>+Zal_1_WPF_wg_RIO_Lodz!P22</f>
        <v>0</v>
      </c>
      <c r="S30" s="90">
        <f>+Zal_1_WPF_wg_RIO_Lodz!Q22</f>
        <v>0</v>
      </c>
      <c r="T30" s="90">
        <f>+Zal_1_WPF_wg_RIO_Lodz!R22</f>
        <v>0</v>
      </c>
      <c r="U30" s="90">
        <f>+Zal_1_WPF_wg_RIO_Lodz!S22</f>
        <v>0</v>
      </c>
      <c r="V30" s="90">
        <f>+Zal_1_WPF_wg_RIO_Lodz!T22</f>
        <v>0</v>
      </c>
      <c r="W30" s="90">
        <f>+Zal_1_WPF_wg_RIO_Lodz!U22</f>
        <v>0</v>
      </c>
      <c r="X30" s="90">
        <f>+Zal_1_WPF_wg_RIO_Lodz!V22</f>
        <v>0</v>
      </c>
      <c r="Y30" s="90">
        <f>+Zal_1_WPF_wg_RIO_Lodz!W22</f>
        <v>0</v>
      </c>
      <c r="Z30" s="90">
        <f>+Zal_1_WPF_wg_RIO_Lodz!X22</f>
        <v>0</v>
      </c>
      <c r="AA30" s="90">
        <f>+Zal_1_WPF_wg_RIO_Lodz!Y22</f>
        <v>0</v>
      </c>
      <c r="AB30" s="90">
        <f>+Zal_1_WPF_wg_RIO_Lodz!Z22</f>
        <v>0</v>
      </c>
      <c r="AC30" s="90">
        <f>+Zal_1_WPF_wg_RIO_Lodz!AA22</f>
        <v>0</v>
      </c>
      <c r="AD30" s="90">
        <f>+Zal_1_WPF_wg_RIO_Lodz!AB22</f>
        <v>0</v>
      </c>
      <c r="AE30" s="90">
        <f>+Zal_1_WPF_wg_RIO_Lodz!AC22</f>
        <v>0</v>
      </c>
      <c r="AF30" s="90">
        <f>+Zal_1_WPF_wg_RIO_Lodz!AD22</f>
        <v>0</v>
      </c>
      <c r="AG30" s="90">
        <f>+Zal_1_WPF_wg_RIO_Lodz!AE22</f>
        <v>0</v>
      </c>
      <c r="AH30" s="90">
        <f>+Zal_1_WPF_wg_RIO_Lodz!AF22</f>
        <v>0</v>
      </c>
      <c r="AI30" s="90">
        <f>+Zal_1_WPF_wg_RIO_Lodz!AG22</f>
        <v>0</v>
      </c>
      <c r="AJ30" s="90">
        <f>+Zal_1_WPF_wg_RIO_Lodz!AH22</f>
        <v>0</v>
      </c>
    </row>
    <row r="31" spans="1:36" ht="47.25">
      <c r="A31" s="260"/>
      <c r="B31" s="223"/>
      <c r="C31" s="202"/>
      <c r="D31" s="215" t="s">
        <v>164</v>
      </c>
      <c r="E31" s="291">
        <f>+Zal_1_WPF_wg_RIO_Lodz!E23</f>
        <v>0</v>
      </c>
      <c r="F31" s="243">
        <v>0</v>
      </c>
      <c r="G31" s="283">
        <v>0</v>
      </c>
      <c r="H31" s="229">
        <f>+Zal_1_WPF_wg_RIO_Lodz!F23</f>
        <v>0</v>
      </c>
      <c r="I31" s="90">
        <f>+Zal_1_WPF_wg_RIO_Lodz!G23</f>
        <v>0</v>
      </c>
      <c r="J31" s="90">
        <f>+Zal_1_WPF_wg_RIO_Lodz!H23</f>
        <v>0</v>
      </c>
      <c r="K31" s="90">
        <f>+Zal_1_WPF_wg_RIO_Lodz!I23</f>
        <v>0</v>
      </c>
      <c r="L31" s="90">
        <f>+Zal_1_WPF_wg_RIO_Lodz!J23</f>
        <v>0</v>
      </c>
      <c r="M31" s="90">
        <f>+Zal_1_WPF_wg_RIO_Lodz!K23</f>
        <v>0</v>
      </c>
      <c r="N31" s="90">
        <f>+Zal_1_WPF_wg_RIO_Lodz!L23</f>
        <v>0</v>
      </c>
      <c r="O31" s="90">
        <f>+Zal_1_WPF_wg_RIO_Lodz!M23</f>
        <v>0</v>
      </c>
      <c r="P31" s="90">
        <f>+Zal_1_WPF_wg_RIO_Lodz!N23</f>
        <v>0</v>
      </c>
      <c r="Q31" s="90">
        <f>+Zal_1_WPF_wg_RIO_Lodz!O23</f>
        <v>0</v>
      </c>
      <c r="R31" s="90">
        <f>+Zal_1_WPF_wg_RIO_Lodz!P23</f>
        <v>0</v>
      </c>
      <c r="S31" s="90">
        <f>+Zal_1_WPF_wg_RIO_Lodz!Q23</f>
        <v>0</v>
      </c>
      <c r="T31" s="90">
        <f>+Zal_1_WPF_wg_RIO_Lodz!R23</f>
        <v>0</v>
      </c>
      <c r="U31" s="90">
        <f>+Zal_1_WPF_wg_RIO_Lodz!S23</f>
        <v>0</v>
      </c>
      <c r="V31" s="90">
        <f>+Zal_1_WPF_wg_RIO_Lodz!T23</f>
        <v>0</v>
      </c>
      <c r="W31" s="90">
        <f>+Zal_1_WPF_wg_RIO_Lodz!U23</f>
        <v>0</v>
      </c>
      <c r="X31" s="90">
        <f>+Zal_1_WPF_wg_RIO_Lodz!V23</f>
        <v>0</v>
      </c>
      <c r="Y31" s="90">
        <f>+Zal_1_WPF_wg_RIO_Lodz!W23</f>
        <v>0</v>
      </c>
      <c r="Z31" s="90">
        <f>+Zal_1_WPF_wg_RIO_Lodz!X23</f>
        <v>0</v>
      </c>
      <c r="AA31" s="90">
        <f>+Zal_1_WPF_wg_RIO_Lodz!Y23</f>
        <v>0</v>
      </c>
      <c r="AB31" s="90">
        <f>+Zal_1_WPF_wg_RIO_Lodz!Z23</f>
        <v>0</v>
      </c>
      <c r="AC31" s="90">
        <f>+Zal_1_WPF_wg_RIO_Lodz!AA23</f>
        <v>0</v>
      </c>
      <c r="AD31" s="90">
        <f>+Zal_1_WPF_wg_RIO_Lodz!AB23</f>
        <v>0</v>
      </c>
      <c r="AE31" s="90">
        <f>+Zal_1_WPF_wg_RIO_Lodz!AC23</f>
        <v>0</v>
      </c>
      <c r="AF31" s="90">
        <f>+Zal_1_WPF_wg_RIO_Lodz!AD23</f>
        <v>0</v>
      </c>
      <c r="AG31" s="90">
        <f>+Zal_1_WPF_wg_RIO_Lodz!AE23</f>
        <v>0</v>
      </c>
      <c r="AH31" s="90">
        <f>+Zal_1_WPF_wg_RIO_Lodz!AF23</f>
        <v>0</v>
      </c>
      <c r="AI31" s="90">
        <f>+Zal_1_WPF_wg_RIO_Lodz!AG23</f>
        <v>0</v>
      </c>
      <c r="AJ31" s="90">
        <f>+Zal_1_WPF_wg_RIO_Lodz!AH23</f>
        <v>0</v>
      </c>
    </row>
    <row r="32" spans="1:36" ht="32.25" customHeight="1" thickBot="1">
      <c r="A32" s="262"/>
      <c r="B32" s="210"/>
      <c r="C32" s="365" t="s">
        <v>26</v>
      </c>
      <c r="D32" s="366"/>
      <c r="E32" s="294">
        <f>+Zal_1_WPF_wg_RIO_Lodz!E25</f>
        <v>0</v>
      </c>
      <c r="F32" s="246">
        <v>0</v>
      </c>
      <c r="G32" s="281">
        <v>0</v>
      </c>
      <c r="H32" s="232">
        <f>+Zal_1_WPF_wg_RIO_Lodz!F25</f>
        <v>0</v>
      </c>
      <c r="I32" s="94">
        <f>+Zal_1_WPF_wg_RIO_Lodz!G25</f>
        <v>0</v>
      </c>
      <c r="J32" s="94">
        <f>+Zal_1_WPF_wg_RIO_Lodz!H25</f>
        <v>0</v>
      </c>
      <c r="K32" s="94">
        <f>+Zal_1_WPF_wg_RIO_Lodz!I25</f>
        <v>0</v>
      </c>
      <c r="L32" s="94">
        <f>+Zal_1_WPF_wg_RIO_Lodz!J25</f>
        <v>0</v>
      </c>
      <c r="M32" s="94">
        <f>+Zal_1_WPF_wg_RIO_Lodz!K25</f>
        <v>0</v>
      </c>
      <c r="N32" s="94">
        <f>+Zal_1_WPF_wg_RIO_Lodz!L25</f>
        <v>0</v>
      </c>
      <c r="O32" s="94">
        <f>+Zal_1_WPF_wg_RIO_Lodz!M25</f>
        <v>0</v>
      </c>
      <c r="P32" s="94">
        <f>+Zal_1_WPF_wg_RIO_Lodz!N25</f>
        <v>0</v>
      </c>
      <c r="Q32" s="94">
        <f>+Zal_1_WPF_wg_RIO_Lodz!O25</f>
        <v>0</v>
      </c>
      <c r="R32" s="94">
        <f>+Zal_1_WPF_wg_RIO_Lodz!P25</f>
        <v>0</v>
      </c>
      <c r="S32" s="94">
        <f>+Zal_1_WPF_wg_RIO_Lodz!Q25</f>
        <v>0</v>
      </c>
      <c r="T32" s="94">
        <f>+Zal_1_WPF_wg_RIO_Lodz!R25</f>
        <v>0</v>
      </c>
      <c r="U32" s="94">
        <f>+Zal_1_WPF_wg_RIO_Lodz!S25</f>
        <v>0</v>
      </c>
      <c r="V32" s="94">
        <f>+Zal_1_WPF_wg_RIO_Lodz!T25</f>
        <v>0</v>
      </c>
      <c r="W32" s="94">
        <f>+Zal_1_WPF_wg_RIO_Lodz!U25</f>
        <v>0</v>
      </c>
      <c r="X32" s="94">
        <f>+Zal_1_WPF_wg_RIO_Lodz!V25</f>
        <v>0</v>
      </c>
      <c r="Y32" s="94">
        <f>+Zal_1_WPF_wg_RIO_Lodz!W25</f>
        <v>0</v>
      </c>
      <c r="Z32" s="94">
        <f>+Zal_1_WPF_wg_RIO_Lodz!X25</f>
        <v>0</v>
      </c>
      <c r="AA32" s="94">
        <f>+Zal_1_WPF_wg_RIO_Lodz!Y25</f>
        <v>0</v>
      </c>
      <c r="AB32" s="94">
        <f>+Zal_1_WPF_wg_RIO_Lodz!Z25</f>
        <v>0</v>
      </c>
      <c r="AC32" s="94">
        <f>+Zal_1_WPF_wg_RIO_Lodz!AA25</f>
        <v>0</v>
      </c>
      <c r="AD32" s="94">
        <f>+Zal_1_WPF_wg_RIO_Lodz!AB25</f>
        <v>0</v>
      </c>
      <c r="AE32" s="94">
        <f>+Zal_1_WPF_wg_RIO_Lodz!AC25</f>
        <v>0</v>
      </c>
      <c r="AF32" s="94">
        <f>+Zal_1_WPF_wg_RIO_Lodz!AD25</f>
        <v>0</v>
      </c>
      <c r="AG32" s="94">
        <f>+Zal_1_WPF_wg_RIO_Lodz!AE25</f>
        <v>0</v>
      </c>
      <c r="AH32" s="94">
        <f>+Zal_1_WPF_wg_RIO_Lodz!AF25</f>
        <v>0</v>
      </c>
      <c r="AI32" s="94">
        <f>+Zal_1_WPF_wg_RIO_Lodz!AG25</f>
        <v>0</v>
      </c>
      <c r="AJ32" s="94">
        <f>+Zal_1_WPF_wg_RIO_Lodz!AH25</f>
        <v>0</v>
      </c>
    </row>
    <row r="33" spans="1:251" s="93" customFormat="1" ht="21" customHeight="1">
      <c r="A33" s="276">
        <v>7</v>
      </c>
      <c r="B33" s="238" t="s">
        <v>38</v>
      </c>
      <c r="C33" s="239"/>
      <c r="D33" s="240"/>
      <c r="E33" s="289">
        <v>32558213</v>
      </c>
      <c r="F33" s="247">
        <v>27354348.4</v>
      </c>
      <c r="G33" s="272"/>
      <c r="H33" s="233">
        <v>36758213</v>
      </c>
      <c r="I33" s="95">
        <v>33820401</v>
      </c>
      <c r="J33" s="95">
        <v>35418711</v>
      </c>
      <c r="K33" s="95">
        <v>29439454</v>
      </c>
      <c r="L33" s="95">
        <v>23345907</v>
      </c>
      <c r="M33" s="95">
        <v>16821191</v>
      </c>
      <c r="N33" s="95">
        <v>10431191</v>
      </c>
      <c r="O33" s="95">
        <v>3991191</v>
      </c>
      <c r="P33" s="95">
        <f>+Zal_1_WPF_wg_RIO_Lodz!N31</f>
        <v>0</v>
      </c>
      <c r="Q33" s="95">
        <f>+Zal_1_WPF_wg_RIO_Lodz!O31</f>
        <v>0</v>
      </c>
      <c r="R33" s="95">
        <f>+Zal_1_WPF_wg_RIO_Lodz!P31</f>
        <v>0</v>
      </c>
      <c r="S33" s="95">
        <f>+Zal_1_WPF_wg_RIO_Lodz!Q31</f>
        <v>0</v>
      </c>
      <c r="T33" s="95">
        <f>+Zal_1_WPF_wg_RIO_Lodz!R31</f>
        <v>0</v>
      </c>
      <c r="U33" s="95">
        <f>+Zal_1_WPF_wg_RIO_Lodz!S31</f>
        <v>0</v>
      </c>
      <c r="V33" s="95">
        <f>+Zal_1_WPF_wg_RIO_Lodz!T31</f>
        <v>0</v>
      </c>
      <c r="W33" s="95">
        <f>+Zal_1_WPF_wg_RIO_Lodz!U31</f>
        <v>0</v>
      </c>
      <c r="X33" s="95">
        <f>+Zal_1_WPF_wg_RIO_Lodz!V31</f>
        <v>0</v>
      </c>
      <c r="Y33" s="95">
        <f>+Zal_1_WPF_wg_RIO_Lodz!W31</f>
        <v>0</v>
      </c>
      <c r="Z33" s="95">
        <f>+Zal_1_WPF_wg_RIO_Lodz!X31</f>
        <v>0</v>
      </c>
      <c r="AA33" s="95">
        <f>+Zal_1_WPF_wg_RIO_Lodz!Y31</f>
        <v>0</v>
      </c>
      <c r="AB33" s="95">
        <f>+Zal_1_WPF_wg_RIO_Lodz!Z31</f>
        <v>0</v>
      </c>
      <c r="AC33" s="95">
        <f>+Zal_1_WPF_wg_RIO_Lodz!AA31</f>
        <v>0</v>
      </c>
      <c r="AD33" s="95">
        <f>+Zal_1_WPF_wg_RIO_Lodz!AB31</f>
        <v>0</v>
      </c>
      <c r="AE33" s="95">
        <f>+Zal_1_WPF_wg_RIO_Lodz!AC31</f>
        <v>0</v>
      </c>
      <c r="AF33" s="95">
        <f>+Zal_1_WPF_wg_RIO_Lodz!AD31</f>
        <v>0</v>
      </c>
      <c r="AG33" s="95">
        <f>+Zal_1_WPF_wg_RIO_Lodz!AE31</f>
        <v>0</v>
      </c>
      <c r="AH33" s="95">
        <f>+Zal_1_WPF_wg_RIO_Lodz!AF31</f>
        <v>0</v>
      </c>
      <c r="AI33" s="95">
        <f>+Zal_1_WPF_wg_RIO_Lodz!AG31</f>
        <v>0</v>
      </c>
      <c r="AJ33" s="95">
        <f>+Zal_1_WPF_wg_RIO_Lodz!AH31</f>
        <v>0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36" ht="33.75" customHeight="1">
      <c r="A34" s="260"/>
      <c r="B34" s="220"/>
      <c r="C34" s="357" t="s">
        <v>39</v>
      </c>
      <c r="D34" s="358"/>
      <c r="E34" s="203">
        <f>+Zal_1_WPF_wg_RIO_Lodz!E32</f>
        <v>0</v>
      </c>
      <c r="F34" s="243">
        <v>0</v>
      </c>
      <c r="G34" s="270"/>
      <c r="H34" s="229">
        <f>+Zal_1_WPF_wg_RIO_Lodz!F32</f>
        <v>0</v>
      </c>
      <c r="I34" s="90">
        <f>+Zal_1_WPF_wg_RIO_Lodz!G32</f>
        <v>0</v>
      </c>
      <c r="J34" s="90">
        <f>+Zal_1_WPF_wg_RIO_Lodz!H32</f>
        <v>0</v>
      </c>
      <c r="K34" s="90">
        <f>+Zal_1_WPF_wg_RIO_Lodz!I32</f>
        <v>0</v>
      </c>
      <c r="L34" s="90">
        <f>+Zal_1_WPF_wg_RIO_Lodz!J32</f>
        <v>0</v>
      </c>
      <c r="M34" s="90">
        <f>+Zal_1_WPF_wg_RIO_Lodz!K32</f>
        <v>0</v>
      </c>
      <c r="N34" s="90">
        <f>+Zal_1_WPF_wg_RIO_Lodz!L32</f>
        <v>0</v>
      </c>
      <c r="O34" s="90">
        <f>+Zal_1_WPF_wg_RIO_Lodz!M32</f>
        <v>0</v>
      </c>
      <c r="P34" s="90">
        <f>+Zal_1_WPF_wg_RIO_Lodz!N32</f>
        <v>0</v>
      </c>
      <c r="Q34" s="90">
        <f>+Zal_1_WPF_wg_RIO_Lodz!O32</f>
        <v>0</v>
      </c>
      <c r="R34" s="90">
        <f>+Zal_1_WPF_wg_RIO_Lodz!P32</f>
        <v>0</v>
      </c>
      <c r="S34" s="90">
        <f>+Zal_1_WPF_wg_RIO_Lodz!Q32</f>
        <v>0</v>
      </c>
      <c r="T34" s="90">
        <f>+Zal_1_WPF_wg_RIO_Lodz!R32</f>
        <v>0</v>
      </c>
      <c r="U34" s="90">
        <f>+Zal_1_WPF_wg_RIO_Lodz!S32</f>
        <v>0</v>
      </c>
      <c r="V34" s="90">
        <f>+Zal_1_WPF_wg_RIO_Lodz!T32</f>
        <v>0</v>
      </c>
      <c r="W34" s="90">
        <f>+Zal_1_WPF_wg_RIO_Lodz!U32</f>
        <v>0</v>
      </c>
      <c r="X34" s="90">
        <f>+Zal_1_WPF_wg_RIO_Lodz!V32</f>
        <v>0</v>
      </c>
      <c r="Y34" s="90">
        <f>+Zal_1_WPF_wg_RIO_Lodz!W32</f>
        <v>0</v>
      </c>
      <c r="Z34" s="90">
        <f>+Zal_1_WPF_wg_RIO_Lodz!X32</f>
        <v>0</v>
      </c>
      <c r="AA34" s="90">
        <f>+Zal_1_WPF_wg_RIO_Lodz!Y32</f>
        <v>0</v>
      </c>
      <c r="AB34" s="90">
        <f>+Zal_1_WPF_wg_RIO_Lodz!Z32</f>
        <v>0</v>
      </c>
      <c r="AC34" s="90">
        <f>+Zal_1_WPF_wg_RIO_Lodz!AA32</f>
        <v>0</v>
      </c>
      <c r="AD34" s="90">
        <f>+Zal_1_WPF_wg_RIO_Lodz!AB32</f>
        <v>0</v>
      </c>
      <c r="AE34" s="90">
        <f>+Zal_1_WPF_wg_RIO_Lodz!AC32</f>
        <v>0</v>
      </c>
      <c r="AF34" s="90">
        <f>+Zal_1_WPF_wg_RIO_Lodz!AD32</f>
        <v>0</v>
      </c>
      <c r="AG34" s="90">
        <f>+Zal_1_WPF_wg_RIO_Lodz!AE32</f>
        <v>0</v>
      </c>
      <c r="AH34" s="90">
        <f>+Zal_1_WPF_wg_RIO_Lodz!AF32</f>
        <v>0</v>
      </c>
      <c r="AI34" s="90">
        <f>+Zal_1_WPF_wg_RIO_Lodz!AG32</f>
        <v>0</v>
      </c>
      <c r="AJ34" s="90">
        <f>+Zal_1_WPF_wg_RIO_Lodz!AH32</f>
        <v>0</v>
      </c>
    </row>
    <row r="35" spans="1:36" ht="29.25" customHeight="1">
      <c r="A35" s="260"/>
      <c r="B35" s="220"/>
      <c r="C35" s="357" t="s">
        <v>40</v>
      </c>
      <c r="D35" s="358"/>
      <c r="E35" s="203">
        <f>+Zal_1_WPF_wg_RIO_Lodz!E33</f>
        <v>0</v>
      </c>
      <c r="F35" s="243">
        <v>0</v>
      </c>
      <c r="G35" s="270"/>
      <c r="H35" s="229">
        <f>+Zal_1_WPF_wg_RIO_Lodz!F33</f>
        <v>0</v>
      </c>
      <c r="I35" s="90">
        <f>+Zal_1_WPF_wg_RIO_Lodz!G33</f>
        <v>0</v>
      </c>
      <c r="J35" s="90">
        <f>+Zal_1_WPF_wg_RIO_Lodz!H33</f>
        <v>0</v>
      </c>
      <c r="K35" s="90">
        <f>+Zal_1_WPF_wg_RIO_Lodz!I33</f>
        <v>0</v>
      </c>
      <c r="L35" s="90">
        <f>+Zal_1_WPF_wg_RIO_Lodz!J33</f>
        <v>0</v>
      </c>
      <c r="M35" s="90">
        <f>+Zal_1_WPF_wg_RIO_Lodz!K33</f>
        <v>0</v>
      </c>
      <c r="N35" s="90">
        <f>+Zal_1_WPF_wg_RIO_Lodz!L33</f>
        <v>0</v>
      </c>
      <c r="O35" s="90">
        <f>+Zal_1_WPF_wg_RIO_Lodz!M33</f>
        <v>0</v>
      </c>
      <c r="P35" s="90">
        <f>+Zal_1_WPF_wg_RIO_Lodz!N33</f>
        <v>0</v>
      </c>
      <c r="Q35" s="90">
        <f>+Zal_1_WPF_wg_RIO_Lodz!O33</f>
        <v>0</v>
      </c>
      <c r="R35" s="90">
        <f>+Zal_1_WPF_wg_RIO_Lodz!P33</f>
        <v>0</v>
      </c>
      <c r="S35" s="90">
        <f>+Zal_1_WPF_wg_RIO_Lodz!Q33</f>
        <v>0</v>
      </c>
      <c r="T35" s="90">
        <f>+Zal_1_WPF_wg_RIO_Lodz!R33</f>
        <v>0</v>
      </c>
      <c r="U35" s="90">
        <f>+Zal_1_WPF_wg_RIO_Lodz!S33</f>
        <v>0</v>
      </c>
      <c r="V35" s="90">
        <f>+Zal_1_WPF_wg_RIO_Lodz!T33</f>
        <v>0</v>
      </c>
      <c r="W35" s="90">
        <f>+Zal_1_WPF_wg_RIO_Lodz!U33</f>
        <v>0</v>
      </c>
      <c r="X35" s="90">
        <f>+Zal_1_WPF_wg_RIO_Lodz!V33</f>
        <v>0</v>
      </c>
      <c r="Y35" s="90">
        <f>+Zal_1_WPF_wg_RIO_Lodz!W33</f>
        <v>0</v>
      </c>
      <c r="Z35" s="90">
        <f>+Zal_1_WPF_wg_RIO_Lodz!X33</f>
        <v>0</v>
      </c>
      <c r="AA35" s="90">
        <f>+Zal_1_WPF_wg_RIO_Lodz!Y33</f>
        <v>0</v>
      </c>
      <c r="AB35" s="90">
        <f>+Zal_1_WPF_wg_RIO_Lodz!Z33</f>
        <v>0</v>
      </c>
      <c r="AC35" s="90">
        <f>+Zal_1_WPF_wg_RIO_Lodz!AA33</f>
        <v>0</v>
      </c>
      <c r="AD35" s="90">
        <f>+Zal_1_WPF_wg_RIO_Lodz!AB33</f>
        <v>0</v>
      </c>
      <c r="AE35" s="90">
        <f>+Zal_1_WPF_wg_RIO_Lodz!AC33</f>
        <v>0</v>
      </c>
      <c r="AF35" s="90">
        <f>+Zal_1_WPF_wg_RIO_Lodz!AD33</f>
        <v>0</v>
      </c>
      <c r="AG35" s="90">
        <f>+Zal_1_WPF_wg_RIO_Lodz!AE33</f>
        <v>0</v>
      </c>
      <c r="AH35" s="90">
        <f>+Zal_1_WPF_wg_RIO_Lodz!AF33</f>
        <v>0</v>
      </c>
      <c r="AI35" s="90">
        <f>+Zal_1_WPF_wg_RIO_Lodz!AG33</f>
        <v>0</v>
      </c>
      <c r="AJ35" s="90">
        <f>+Zal_1_WPF_wg_RIO_Lodz!AH33</f>
        <v>0</v>
      </c>
    </row>
    <row r="36" spans="1:36" ht="31.5" customHeight="1">
      <c r="A36" s="273">
        <v>8</v>
      </c>
      <c r="B36" s="359" t="s">
        <v>41</v>
      </c>
      <c r="C36" s="360"/>
      <c r="D36" s="361"/>
      <c r="E36" s="208">
        <f>+Zal_1_WPF_wg_RIO_Lodz!E34</f>
        <v>0</v>
      </c>
      <c r="F36" s="245">
        <v>0</v>
      </c>
      <c r="G36" s="261"/>
      <c r="H36" s="231">
        <f>+Zal_1_WPF_wg_RIO_Lodz!F34</f>
        <v>0</v>
      </c>
      <c r="I36" s="92">
        <f>+Zal_1_WPF_wg_RIO_Lodz!G34</f>
        <v>0</v>
      </c>
      <c r="J36" s="92">
        <f>+Zal_1_WPF_wg_RIO_Lodz!H34</f>
        <v>0</v>
      </c>
      <c r="K36" s="92">
        <f>+Zal_1_WPF_wg_RIO_Lodz!I34</f>
        <v>0</v>
      </c>
      <c r="L36" s="92">
        <f>+Zal_1_WPF_wg_RIO_Lodz!J34</f>
        <v>0</v>
      </c>
      <c r="M36" s="92">
        <f>+Zal_1_WPF_wg_RIO_Lodz!K34</f>
        <v>0</v>
      </c>
      <c r="N36" s="92">
        <f>+Zal_1_WPF_wg_RIO_Lodz!L34</f>
        <v>0</v>
      </c>
      <c r="O36" s="92">
        <f>+Zal_1_WPF_wg_RIO_Lodz!M34</f>
        <v>0</v>
      </c>
      <c r="P36" s="92">
        <f>+Zal_1_WPF_wg_RIO_Lodz!N34</f>
        <v>0</v>
      </c>
      <c r="Q36" s="92">
        <f>+Zal_1_WPF_wg_RIO_Lodz!O34</f>
        <v>0</v>
      </c>
      <c r="R36" s="92">
        <f>+Zal_1_WPF_wg_RIO_Lodz!P34</f>
        <v>0</v>
      </c>
      <c r="S36" s="92">
        <f>+Zal_1_WPF_wg_RIO_Lodz!Q34</f>
        <v>0</v>
      </c>
      <c r="T36" s="92">
        <f>+Zal_1_WPF_wg_RIO_Lodz!R34</f>
        <v>0</v>
      </c>
      <c r="U36" s="92">
        <f>+Zal_1_WPF_wg_RIO_Lodz!S34</f>
        <v>0</v>
      </c>
      <c r="V36" s="92">
        <f>+Zal_1_WPF_wg_RIO_Lodz!T34</f>
        <v>0</v>
      </c>
      <c r="W36" s="92">
        <f>+Zal_1_WPF_wg_RIO_Lodz!U34</f>
        <v>0</v>
      </c>
      <c r="X36" s="92">
        <f>+Zal_1_WPF_wg_RIO_Lodz!V34</f>
        <v>0</v>
      </c>
      <c r="Y36" s="92">
        <f>+Zal_1_WPF_wg_RIO_Lodz!W34</f>
        <v>0</v>
      </c>
      <c r="Z36" s="92">
        <f>+Zal_1_WPF_wg_RIO_Lodz!X34</f>
        <v>0</v>
      </c>
      <c r="AA36" s="92">
        <f>+Zal_1_WPF_wg_RIO_Lodz!Y34</f>
        <v>0</v>
      </c>
      <c r="AB36" s="92">
        <f>+Zal_1_WPF_wg_RIO_Lodz!Z34</f>
        <v>0</v>
      </c>
      <c r="AC36" s="92">
        <f>+Zal_1_WPF_wg_RIO_Lodz!AA34</f>
        <v>0</v>
      </c>
      <c r="AD36" s="92">
        <f>+Zal_1_WPF_wg_RIO_Lodz!AB34</f>
        <v>0</v>
      </c>
      <c r="AE36" s="92">
        <f>+Zal_1_WPF_wg_RIO_Lodz!AC34</f>
        <v>0</v>
      </c>
      <c r="AF36" s="92">
        <f>+Zal_1_WPF_wg_RIO_Lodz!AD34</f>
        <v>0</v>
      </c>
      <c r="AG36" s="92">
        <f>+Zal_1_WPF_wg_RIO_Lodz!AE34</f>
        <v>0</v>
      </c>
      <c r="AH36" s="92">
        <f>+Zal_1_WPF_wg_RIO_Lodz!AF34</f>
        <v>0</v>
      </c>
      <c r="AI36" s="92">
        <f>+Zal_1_WPF_wg_RIO_Lodz!AG34</f>
        <v>0</v>
      </c>
      <c r="AJ36" s="92">
        <f>+Zal_1_WPF_wg_RIO_Lodz!AH34</f>
        <v>0</v>
      </c>
    </row>
    <row r="37" spans="1:36" ht="29.25" customHeight="1">
      <c r="A37" s="273">
        <v>9</v>
      </c>
      <c r="B37" s="359" t="s">
        <v>155</v>
      </c>
      <c r="C37" s="360"/>
      <c r="D37" s="361"/>
      <c r="E37" s="216">
        <v>0.1021</v>
      </c>
      <c r="F37" s="295"/>
      <c r="G37" s="296"/>
      <c r="H37" s="234">
        <f>+Zal_1_WPF_wg_RIO_Lodz!F35</f>
        <v>0.09831082320738582</v>
      </c>
      <c r="I37" s="96">
        <v>0.1071</v>
      </c>
      <c r="J37" s="96">
        <v>0.0984</v>
      </c>
      <c r="K37" s="96">
        <v>0.0968</v>
      </c>
      <c r="L37" s="96">
        <v>0.083</v>
      </c>
      <c r="M37" s="96">
        <v>0.0795</v>
      </c>
      <c r="N37" s="96">
        <v>0.0704</v>
      </c>
      <c r="O37" s="96">
        <v>0.0635</v>
      </c>
      <c r="P37" s="96">
        <v>0.0674</v>
      </c>
      <c r="Q37" s="96" t="e">
        <f>+Zal_1_WPF_wg_RIO_Lodz!O35</f>
        <v>#DIV/0!</v>
      </c>
      <c r="R37" s="96" t="e">
        <f>+Zal_1_WPF_wg_RIO_Lodz!P35</f>
        <v>#DIV/0!</v>
      </c>
      <c r="S37" s="96" t="e">
        <f>+Zal_1_WPF_wg_RIO_Lodz!Q35</f>
        <v>#DIV/0!</v>
      </c>
      <c r="T37" s="96" t="e">
        <f>+Zal_1_WPF_wg_RIO_Lodz!R35</f>
        <v>#DIV/0!</v>
      </c>
      <c r="U37" s="96" t="e">
        <f>+Zal_1_WPF_wg_RIO_Lodz!S35</f>
        <v>#DIV/0!</v>
      </c>
      <c r="V37" s="96" t="e">
        <f>+Zal_1_WPF_wg_RIO_Lodz!T35</f>
        <v>#DIV/0!</v>
      </c>
      <c r="W37" s="96" t="e">
        <f>+Zal_1_WPF_wg_RIO_Lodz!U35</f>
        <v>#DIV/0!</v>
      </c>
      <c r="X37" s="96" t="e">
        <f>+Zal_1_WPF_wg_RIO_Lodz!V35</f>
        <v>#DIV/0!</v>
      </c>
      <c r="Y37" s="96" t="e">
        <f>+Zal_1_WPF_wg_RIO_Lodz!W35</f>
        <v>#DIV/0!</v>
      </c>
      <c r="Z37" s="96" t="e">
        <f>+Zal_1_WPF_wg_RIO_Lodz!X35</f>
        <v>#DIV/0!</v>
      </c>
      <c r="AA37" s="96" t="e">
        <f>+Zal_1_WPF_wg_RIO_Lodz!Y35</f>
        <v>#DIV/0!</v>
      </c>
      <c r="AB37" s="96" t="e">
        <f>+Zal_1_WPF_wg_RIO_Lodz!Z35</f>
        <v>#DIV/0!</v>
      </c>
      <c r="AC37" s="96" t="e">
        <f>+Zal_1_WPF_wg_RIO_Lodz!AA35</f>
        <v>#DIV/0!</v>
      </c>
      <c r="AD37" s="96" t="e">
        <f>+Zal_1_WPF_wg_RIO_Lodz!AB35</f>
        <v>#DIV/0!</v>
      </c>
      <c r="AE37" s="96" t="e">
        <f>+Zal_1_WPF_wg_RIO_Lodz!AC35</f>
        <v>#DIV/0!</v>
      </c>
      <c r="AF37" s="96" t="e">
        <f>+Zal_1_WPF_wg_RIO_Lodz!AD35</f>
        <v>#DIV/0!</v>
      </c>
      <c r="AG37" s="96" t="e">
        <f>+Zal_1_WPF_wg_RIO_Lodz!AE35</f>
        <v>#DIV/0!</v>
      </c>
      <c r="AH37" s="96" t="e">
        <f>+Zal_1_WPF_wg_RIO_Lodz!AF35</f>
        <v>#DIV/0!</v>
      </c>
      <c r="AI37" s="96" t="e">
        <f>+Zal_1_WPF_wg_RIO_Lodz!AG35</f>
        <v>#DIV/0!</v>
      </c>
      <c r="AJ37" s="96" t="e">
        <f>+Zal_1_WPF_wg_RIO_Lodz!AH35</f>
        <v>#DIV/0!</v>
      </c>
    </row>
    <row r="38" spans="1:36" ht="33.75" customHeight="1">
      <c r="A38" s="273">
        <v>10</v>
      </c>
      <c r="B38" s="359" t="s">
        <v>151</v>
      </c>
      <c r="C38" s="360"/>
      <c r="D38" s="361"/>
      <c r="E38" s="216">
        <v>0.2295</v>
      </c>
      <c r="F38" s="295"/>
      <c r="G38" s="296"/>
      <c r="H38" s="234">
        <f>+Zal_1_WPF_wg_RIO_Lodz!F37</f>
        <v>0.2107</v>
      </c>
      <c r="I38" s="96">
        <v>0.1805</v>
      </c>
      <c r="J38" s="96">
        <v>0.1656</v>
      </c>
      <c r="K38" s="96">
        <v>0.1926</v>
      </c>
      <c r="L38" s="96">
        <v>0.1942</v>
      </c>
      <c r="M38" s="96">
        <v>0.2008</v>
      </c>
      <c r="N38" s="96">
        <v>0.2107</v>
      </c>
      <c r="O38" s="96">
        <v>0.2196</v>
      </c>
      <c r="P38" s="96">
        <v>0.2326</v>
      </c>
      <c r="Q38" s="96">
        <f>+Zal_1_WPF_wg_RIO_Lodz!O37</f>
        <v>0.24976909892662955</v>
      </c>
      <c r="R38" s="96" t="e">
        <f>+Zal_1_WPF_wg_RIO_Lodz!P37</f>
        <v>#DIV/0!</v>
      </c>
      <c r="S38" s="96" t="e">
        <f>+Zal_1_WPF_wg_RIO_Lodz!Q37</f>
        <v>#DIV/0!</v>
      </c>
      <c r="T38" s="96" t="e">
        <f>+Zal_1_WPF_wg_RIO_Lodz!R37</f>
        <v>#DIV/0!</v>
      </c>
      <c r="U38" s="96" t="e">
        <f>+Zal_1_WPF_wg_RIO_Lodz!S37</f>
        <v>#DIV/0!</v>
      </c>
      <c r="V38" s="96" t="e">
        <f>+Zal_1_WPF_wg_RIO_Lodz!T37</f>
        <v>#DIV/0!</v>
      </c>
      <c r="W38" s="96" t="e">
        <f>+Zal_1_WPF_wg_RIO_Lodz!U37</f>
        <v>#DIV/0!</v>
      </c>
      <c r="X38" s="96" t="e">
        <f>+Zal_1_WPF_wg_RIO_Lodz!V37</f>
        <v>#DIV/0!</v>
      </c>
      <c r="Y38" s="96" t="e">
        <f>+Zal_1_WPF_wg_RIO_Lodz!W37</f>
        <v>#DIV/0!</v>
      </c>
      <c r="Z38" s="96" t="e">
        <f>+Zal_1_WPF_wg_RIO_Lodz!X37</f>
        <v>#DIV/0!</v>
      </c>
      <c r="AA38" s="96" t="e">
        <f>+Zal_1_WPF_wg_RIO_Lodz!Y37</f>
        <v>#DIV/0!</v>
      </c>
      <c r="AB38" s="96" t="e">
        <f>+Zal_1_WPF_wg_RIO_Lodz!Z37</f>
        <v>#DIV/0!</v>
      </c>
      <c r="AC38" s="96" t="e">
        <f>+Zal_1_WPF_wg_RIO_Lodz!AA37</f>
        <v>#DIV/0!</v>
      </c>
      <c r="AD38" s="96" t="e">
        <f>+Zal_1_WPF_wg_RIO_Lodz!AB37</f>
        <v>#DIV/0!</v>
      </c>
      <c r="AE38" s="96" t="e">
        <f>+Zal_1_WPF_wg_RIO_Lodz!AC37</f>
        <v>#DIV/0!</v>
      </c>
      <c r="AF38" s="96" t="e">
        <f>+Zal_1_WPF_wg_RIO_Lodz!AD37</f>
        <v>#DIV/0!</v>
      </c>
      <c r="AG38" s="96" t="e">
        <f>+Zal_1_WPF_wg_RIO_Lodz!AE37</f>
        <v>#DIV/0!</v>
      </c>
      <c r="AH38" s="96" t="e">
        <f>+Zal_1_WPF_wg_RIO_Lodz!AF37</f>
        <v>#DIV/0!</v>
      </c>
      <c r="AI38" s="96" t="e">
        <f>+Zal_1_WPF_wg_RIO_Lodz!AG37</f>
        <v>#DIV/0!</v>
      </c>
      <c r="AJ38" s="96" t="e">
        <f>+Zal_1_WPF_wg_RIO_Lodz!AH37</f>
        <v>#REF!</v>
      </c>
    </row>
    <row r="39" spans="1:36" ht="33" customHeight="1">
      <c r="A39" s="273">
        <v>11</v>
      </c>
      <c r="B39" s="359" t="s">
        <v>42</v>
      </c>
      <c r="C39" s="360"/>
      <c r="D39" s="361"/>
      <c r="E39" s="217" t="str">
        <f aca="true" t="shared" si="11" ref="E39:P39">IF(E37&lt;=E38,"Zgodny z art. 243","Niezgodny z art. 243")</f>
        <v>Zgodny z art. 243</v>
      </c>
      <c r="F39" s="297"/>
      <c r="G39" s="298"/>
      <c r="H39" s="235" t="str">
        <f t="shared" si="11"/>
        <v>Zgodny z art. 243</v>
      </c>
      <c r="I39" s="97" t="str">
        <f t="shared" si="11"/>
        <v>Zgodny z art. 243</v>
      </c>
      <c r="J39" s="97" t="str">
        <f t="shared" si="11"/>
        <v>Zgodny z art. 243</v>
      </c>
      <c r="K39" s="97" t="str">
        <f t="shared" si="11"/>
        <v>Zgodny z art. 243</v>
      </c>
      <c r="L39" s="97" t="str">
        <f t="shared" si="11"/>
        <v>Zgodny z art. 243</v>
      </c>
      <c r="M39" s="97" t="str">
        <f t="shared" si="11"/>
        <v>Zgodny z art. 243</v>
      </c>
      <c r="N39" s="97" t="str">
        <f t="shared" si="11"/>
        <v>Zgodny z art. 243</v>
      </c>
      <c r="O39" s="97" t="str">
        <f t="shared" si="11"/>
        <v>Zgodny z art. 243</v>
      </c>
      <c r="P39" s="97" t="str">
        <f t="shared" si="11"/>
        <v>Zgodny z art. 243</v>
      </c>
      <c r="Q39" s="97" t="e">
        <f aca="true" t="shared" si="12" ref="Q39:AJ39">IF(Q37&lt;=Q38,"Zgodny z art. 243","Niezgodny z art. 243")</f>
        <v>#DIV/0!</v>
      </c>
      <c r="R39" s="97" t="e">
        <f t="shared" si="12"/>
        <v>#DIV/0!</v>
      </c>
      <c r="S39" s="97" t="e">
        <f t="shared" si="12"/>
        <v>#DIV/0!</v>
      </c>
      <c r="T39" s="97" t="e">
        <f t="shared" si="12"/>
        <v>#DIV/0!</v>
      </c>
      <c r="U39" s="97" t="e">
        <f t="shared" si="12"/>
        <v>#DIV/0!</v>
      </c>
      <c r="V39" s="97" t="e">
        <f t="shared" si="12"/>
        <v>#DIV/0!</v>
      </c>
      <c r="W39" s="97" t="e">
        <f t="shared" si="12"/>
        <v>#DIV/0!</v>
      </c>
      <c r="X39" s="97" t="e">
        <f t="shared" si="12"/>
        <v>#DIV/0!</v>
      </c>
      <c r="Y39" s="97" t="e">
        <f t="shared" si="12"/>
        <v>#DIV/0!</v>
      </c>
      <c r="Z39" s="97" t="e">
        <f t="shared" si="12"/>
        <v>#DIV/0!</v>
      </c>
      <c r="AA39" s="97" t="e">
        <f t="shared" si="12"/>
        <v>#DIV/0!</v>
      </c>
      <c r="AB39" s="97" t="e">
        <f t="shared" si="12"/>
        <v>#DIV/0!</v>
      </c>
      <c r="AC39" s="97" t="e">
        <f t="shared" si="12"/>
        <v>#DIV/0!</v>
      </c>
      <c r="AD39" s="97" t="e">
        <f t="shared" si="12"/>
        <v>#DIV/0!</v>
      </c>
      <c r="AE39" s="97" t="e">
        <f t="shared" si="12"/>
        <v>#DIV/0!</v>
      </c>
      <c r="AF39" s="97" t="e">
        <f t="shared" si="12"/>
        <v>#DIV/0!</v>
      </c>
      <c r="AG39" s="97" t="e">
        <f t="shared" si="12"/>
        <v>#DIV/0!</v>
      </c>
      <c r="AH39" s="97" t="e">
        <f t="shared" si="12"/>
        <v>#DIV/0!</v>
      </c>
      <c r="AI39" s="97" t="e">
        <f t="shared" si="12"/>
        <v>#DIV/0!</v>
      </c>
      <c r="AJ39" s="97" t="e">
        <f t="shared" si="12"/>
        <v>#DIV/0!</v>
      </c>
    </row>
    <row r="40" spans="1:36" ht="48.75" customHeight="1">
      <c r="A40" s="273">
        <v>12</v>
      </c>
      <c r="B40" s="359" t="s">
        <v>154</v>
      </c>
      <c r="C40" s="360"/>
      <c r="D40" s="361"/>
      <c r="E40" s="216">
        <v>0.1021</v>
      </c>
      <c r="F40" s="295"/>
      <c r="G40" s="296"/>
      <c r="H40" s="234">
        <f>+Zal_1_WPF_wg_RIO_Lodz!F39</f>
        <v>0.09831082320738582</v>
      </c>
      <c r="I40" s="96">
        <v>0.1071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</row>
    <row r="41" spans="1:36" ht="31.5" customHeight="1" thickBot="1">
      <c r="A41" s="274">
        <v>13</v>
      </c>
      <c r="B41" s="362" t="s">
        <v>152</v>
      </c>
      <c r="C41" s="363"/>
      <c r="D41" s="364"/>
      <c r="E41" s="218">
        <f>E33/E11</f>
        <v>0.402245955037902</v>
      </c>
      <c r="F41" s="299"/>
      <c r="G41" s="300"/>
      <c r="H41" s="236">
        <f>H33/H11</f>
        <v>0.4541355661525903</v>
      </c>
      <c r="I41" s="99">
        <f>I33/I11</f>
        <v>0.4163264686606827</v>
      </c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</row>
    <row r="42" spans="1:36" ht="22.5" customHeight="1">
      <c r="A42" s="225">
        <v>14</v>
      </c>
      <c r="B42" s="356" t="s">
        <v>153</v>
      </c>
      <c r="C42" s="356"/>
      <c r="D42" s="356"/>
      <c r="E42" s="252"/>
      <c r="F42" s="252"/>
      <c r="G42" s="253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</row>
    <row r="43" spans="1:36" s="5" customFormat="1" ht="18" customHeight="1">
      <c r="A43" s="277"/>
      <c r="B43" s="101"/>
      <c r="C43" s="101"/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</row>
    <row r="44" spans="1:36" s="5" customFormat="1" ht="13.5" customHeight="1">
      <c r="A44" s="226"/>
      <c r="B44" s="101"/>
      <c r="C44" s="101"/>
      <c r="D44" s="102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</row>
    <row r="45" spans="1:36" s="5" customFormat="1" ht="13.5" customHeight="1">
      <c r="A45" s="226"/>
      <c r="B45" s="101"/>
      <c r="C45" s="101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</row>
  </sheetData>
  <sheetProtection/>
  <mergeCells count="16">
    <mergeCell ref="B37:D37"/>
    <mergeCell ref="B38:D38"/>
    <mergeCell ref="C12:D12"/>
    <mergeCell ref="C13:D13"/>
    <mergeCell ref="C27:D27"/>
    <mergeCell ref="C28:D28"/>
    <mergeCell ref="B42:D42"/>
    <mergeCell ref="C25:D25"/>
    <mergeCell ref="C30:D30"/>
    <mergeCell ref="C34:D34"/>
    <mergeCell ref="B40:D40"/>
    <mergeCell ref="B41:D41"/>
    <mergeCell ref="C32:D32"/>
    <mergeCell ref="B39:D39"/>
    <mergeCell ref="B36:D36"/>
    <mergeCell ref="C35:D35"/>
  </mergeCells>
  <printOptions horizontalCentered="1"/>
  <pageMargins left="0.11811023622047245" right="0.11811023622047245" top="0.5511811023622047" bottom="0.5905511811023623" header="0.31496062992125984" footer="0.31496062992125984"/>
  <pageSetup blackAndWhite="1" horizontalDpi="300" verticalDpi="300" orientation="landscape" paperSize="9" scale="75" r:id="rId3"/>
  <headerFooter alignWithMargins="0">
    <oddFooter>&amp;CStrona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tabColor rgb="FF00B050"/>
  </sheetPr>
  <dimension ref="A1:AR25"/>
  <sheetViews>
    <sheetView zoomScalePageLayoutView="0" workbookViewId="0" topLeftCell="A1">
      <selection activeCell="B9" sqref="B9"/>
    </sheetView>
  </sheetViews>
  <sheetFormatPr defaultColWidth="8.796875" defaultRowHeight="14.25"/>
  <cols>
    <col min="1" max="1" width="38.69921875" style="0" customWidth="1"/>
    <col min="2" max="31" width="12.59765625" style="0" customWidth="1"/>
  </cols>
  <sheetData>
    <row r="1" ht="15">
      <c r="A1" s="52" t="s">
        <v>134</v>
      </c>
    </row>
    <row r="2" spans="1:2" ht="14.25">
      <c r="A2" s="53" t="s">
        <v>135</v>
      </c>
      <c r="B2" t="str">
        <f>+Zal_1_WPF_wg_RIO_Lodz!E1</f>
        <v>(1421042) - MICHAŁOWICE - WPF za lata 2011-2020 - Nr Uchwały JST: 2</v>
      </c>
    </row>
    <row r="4" spans="1:44" ht="15">
      <c r="A4" s="46" t="s">
        <v>114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44" s="65" customFormat="1" ht="12">
      <c r="A5" s="54"/>
      <c r="B5" s="54">
        <v>2011</v>
      </c>
      <c r="C5" s="54">
        <v>2012</v>
      </c>
      <c r="D5" s="54">
        <v>2013</v>
      </c>
      <c r="E5" s="54">
        <v>2014</v>
      </c>
      <c r="F5" s="54">
        <v>2015</v>
      </c>
      <c r="G5" s="54">
        <v>2016</v>
      </c>
      <c r="H5" s="54">
        <v>2017</v>
      </c>
      <c r="I5" s="54">
        <v>2018</v>
      </c>
      <c r="J5" s="54">
        <v>2019</v>
      </c>
      <c r="K5" s="54">
        <v>2020</v>
      </c>
      <c r="L5" s="54">
        <v>2021</v>
      </c>
      <c r="M5" s="54">
        <v>2022</v>
      </c>
      <c r="N5" s="54">
        <v>2023</v>
      </c>
      <c r="O5" s="54">
        <v>2024</v>
      </c>
      <c r="P5" s="54">
        <v>2025</v>
      </c>
      <c r="Q5" s="54">
        <v>2026</v>
      </c>
      <c r="R5" s="54">
        <v>2027</v>
      </c>
      <c r="S5" s="54">
        <v>2028</v>
      </c>
      <c r="T5" s="54">
        <v>2029</v>
      </c>
      <c r="U5" s="54">
        <v>2030</v>
      </c>
      <c r="V5" s="54">
        <v>2031</v>
      </c>
      <c r="W5" s="54">
        <v>2032</v>
      </c>
      <c r="X5" s="54">
        <v>2033</v>
      </c>
      <c r="Y5" s="54">
        <v>2034</v>
      </c>
      <c r="Z5" s="54">
        <v>2035</v>
      </c>
      <c r="AA5" s="54">
        <v>2036</v>
      </c>
      <c r="AB5" s="54">
        <v>2037</v>
      </c>
      <c r="AC5" s="54">
        <v>2038</v>
      </c>
      <c r="AD5" s="54">
        <v>2039</v>
      </c>
      <c r="AE5" s="54">
        <v>2040</v>
      </c>
      <c r="AF5" s="54">
        <v>2041</v>
      </c>
      <c r="AG5" s="54">
        <v>2042</v>
      </c>
      <c r="AH5" s="54">
        <v>2043</v>
      </c>
      <c r="AI5" s="54">
        <v>2044</v>
      </c>
      <c r="AJ5" s="54">
        <v>2045</v>
      </c>
      <c r="AK5" s="54">
        <v>2046</v>
      </c>
      <c r="AL5" s="54">
        <v>2047</v>
      </c>
      <c r="AM5" s="54">
        <v>2048</v>
      </c>
      <c r="AN5" s="54">
        <v>2049</v>
      </c>
      <c r="AO5" s="54">
        <v>2050</v>
      </c>
      <c r="AP5" s="54">
        <v>2051</v>
      </c>
      <c r="AQ5" s="54">
        <v>2052</v>
      </c>
      <c r="AR5" s="54">
        <v>2053</v>
      </c>
    </row>
    <row r="6" spans="1:44" s="65" customFormat="1" ht="12">
      <c r="A6" s="66" t="s">
        <v>129</v>
      </c>
      <c r="B6" s="55">
        <f>+Zal_1_WPF_wg_RIO_Lodz!E7</f>
        <v>71427558.22000001</v>
      </c>
      <c r="C6" s="55">
        <f>+Zal_1_WPF_wg_RIO_Lodz!F7</f>
        <v>80921057.56</v>
      </c>
      <c r="D6" s="55">
        <f>+Zal_1_WPF_wg_RIO_Lodz!G7</f>
        <v>81235289</v>
      </c>
      <c r="E6" s="55">
        <f>+Zal_1_WPF_wg_RIO_Lodz!H7</f>
        <v>86042639</v>
      </c>
      <c r="F6" s="55">
        <f>+Zal_1_WPF_wg_RIO_Lodz!I7</f>
        <v>91523349</v>
      </c>
      <c r="G6" s="55">
        <f>+Zal_1_WPF_wg_RIO_Lodz!J7</f>
        <v>95494112</v>
      </c>
      <c r="H6" s="55">
        <f>+Zal_1_WPF_wg_RIO_Lodz!K7</f>
        <v>100566656</v>
      </c>
      <c r="I6" s="55">
        <f>+Zal_1_WPF_wg_RIO_Lodz!L7</f>
        <v>106598109</v>
      </c>
      <c r="J6" s="55">
        <f>+Zal_1_WPF_wg_RIO_Lodz!M7</f>
        <v>113061489</v>
      </c>
      <c r="K6" s="55">
        <f>+Zal_1_WPF_wg_RIO_Lodz!N7</f>
        <v>116815684</v>
      </c>
      <c r="L6" s="55">
        <f>+Zal_1_WPF_wg_RIO_Lodz!O7</f>
        <v>0</v>
      </c>
      <c r="M6" s="55">
        <f>+Zal_1_WPF_wg_RIO_Lodz!P7</f>
        <v>0</v>
      </c>
      <c r="N6" s="55">
        <f>+Zal_1_WPF_wg_RIO_Lodz!Q7</f>
        <v>0</v>
      </c>
      <c r="O6" s="55">
        <f>+Zal_1_WPF_wg_RIO_Lodz!R7</f>
        <v>0</v>
      </c>
      <c r="P6" s="55">
        <f>+Zal_1_WPF_wg_RIO_Lodz!S7</f>
        <v>0</v>
      </c>
      <c r="Q6" s="55">
        <f>+Zal_1_WPF_wg_RIO_Lodz!T7</f>
        <v>0</v>
      </c>
      <c r="R6" s="55">
        <f>+Zal_1_WPF_wg_RIO_Lodz!U7</f>
        <v>0</v>
      </c>
      <c r="S6" s="55">
        <f>+Zal_1_WPF_wg_RIO_Lodz!V7</f>
        <v>0</v>
      </c>
      <c r="T6" s="55">
        <f>+Zal_1_WPF_wg_RIO_Lodz!W7</f>
        <v>0</v>
      </c>
      <c r="U6" s="55">
        <f>+Zal_1_WPF_wg_RIO_Lodz!X7</f>
        <v>0</v>
      </c>
      <c r="V6" s="55">
        <f>+Zal_1_WPF_wg_RIO_Lodz!Y7</f>
        <v>0</v>
      </c>
      <c r="W6" s="55">
        <f>+Zal_1_WPF_wg_RIO_Lodz!Z7</f>
        <v>0</v>
      </c>
      <c r="X6" s="55">
        <f>+Zal_1_WPF_wg_RIO_Lodz!AA7</f>
        <v>0</v>
      </c>
      <c r="Y6" s="55">
        <f>+Zal_1_WPF_wg_RIO_Lodz!AB7</f>
        <v>0</v>
      </c>
      <c r="Z6" s="55">
        <f>+Zal_1_WPF_wg_RIO_Lodz!AC7</f>
        <v>0</v>
      </c>
      <c r="AA6" s="55">
        <f>+Zal_1_WPF_wg_RIO_Lodz!AD7</f>
        <v>0</v>
      </c>
      <c r="AB6" s="55">
        <f>+Zal_1_WPF_wg_RIO_Lodz!AE7</f>
        <v>0</v>
      </c>
      <c r="AC6" s="55">
        <f>+Zal_1_WPF_wg_RIO_Lodz!AF7</f>
        <v>0</v>
      </c>
      <c r="AD6" s="55">
        <f>+Zal_1_WPF_wg_RIO_Lodz!AG7</f>
        <v>0</v>
      </c>
      <c r="AE6" s="55">
        <f>+Zal_1_WPF_wg_RIO_Lodz!AH7</f>
        <v>0</v>
      </c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s="65" customFormat="1" ht="12">
      <c r="A7" s="66" t="s">
        <v>128</v>
      </c>
      <c r="B7" s="55">
        <f>+Zal_1_WPF_wg_RIO_Lodz!E9</f>
        <v>0</v>
      </c>
      <c r="C7" s="55">
        <f>+Zal_1_WPF_wg_RIO_Lodz!F9</f>
        <v>20000</v>
      </c>
      <c r="D7" s="55">
        <f>+Zal_1_WPF_wg_RIO_Lodz!G9</f>
        <v>0</v>
      </c>
      <c r="E7" s="55">
        <f>+Zal_1_WPF_wg_RIO_Lodz!H9</f>
        <v>0</v>
      </c>
      <c r="F7" s="55">
        <f>+Zal_1_WPF_wg_RIO_Lodz!I9</f>
        <v>0</v>
      </c>
      <c r="G7" s="55">
        <f>+Zal_1_WPF_wg_RIO_Lodz!J9</f>
        <v>0</v>
      </c>
      <c r="H7" s="55">
        <f>+Zal_1_WPF_wg_RIO_Lodz!K9</f>
        <v>0</v>
      </c>
      <c r="I7" s="55">
        <f>+Zal_1_WPF_wg_RIO_Lodz!L9</f>
        <v>0</v>
      </c>
      <c r="J7" s="55">
        <f>+Zal_1_WPF_wg_RIO_Lodz!M9</f>
        <v>0</v>
      </c>
      <c r="K7" s="55">
        <f>+Zal_1_WPF_wg_RIO_Lodz!N9</f>
        <v>0</v>
      </c>
      <c r="L7" s="55">
        <f>+Zal_1_WPF_wg_RIO_Lodz!O9</f>
        <v>0</v>
      </c>
      <c r="M7" s="55">
        <f>+Zal_1_WPF_wg_RIO_Lodz!P9</f>
        <v>0</v>
      </c>
      <c r="N7" s="55">
        <f>+Zal_1_WPF_wg_RIO_Lodz!Q9</f>
        <v>0</v>
      </c>
      <c r="O7" s="55">
        <f>+Zal_1_WPF_wg_RIO_Lodz!R9</f>
        <v>0</v>
      </c>
      <c r="P7" s="55">
        <f>+Zal_1_WPF_wg_RIO_Lodz!S9</f>
        <v>0</v>
      </c>
      <c r="Q7" s="55">
        <f>+Zal_1_WPF_wg_RIO_Lodz!T9</f>
        <v>0</v>
      </c>
      <c r="R7" s="55">
        <f>+Zal_1_WPF_wg_RIO_Lodz!U9</f>
        <v>0</v>
      </c>
      <c r="S7" s="55">
        <f>+Zal_1_WPF_wg_RIO_Lodz!V9</f>
        <v>0</v>
      </c>
      <c r="T7" s="55">
        <f>+Zal_1_WPF_wg_RIO_Lodz!W9</f>
        <v>0</v>
      </c>
      <c r="U7" s="55">
        <f>+Zal_1_WPF_wg_RIO_Lodz!X9</f>
        <v>0</v>
      </c>
      <c r="V7" s="55">
        <f>+Zal_1_WPF_wg_RIO_Lodz!Y9</f>
        <v>0</v>
      </c>
      <c r="W7" s="55">
        <f>+Zal_1_WPF_wg_RIO_Lodz!Z9</f>
        <v>0</v>
      </c>
      <c r="X7" s="55">
        <f>+Zal_1_WPF_wg_RIO_Lodz!AA9</f>
        <v>0</v>
      </c>
      <c r="Y7" s="55">
        <f>+Zal_1_WPF_wg_RIO_Lodz!AB9</f>
        <v>0</v>
      </c>
      <c r="Z7" s="55">
        <f>+Zal_1_WPF_wg_RIO_Lodz!AC9</f>
        <v>0</v>
      </c>
      <c r="AA7" s="55">
        <f>+Zal_1_WPF_wg_RIO_Lodz!AD9</f>
        <v>0</v>
      </c>
      <c r="AB7" s="55">
        <f>+Zal_1_WPF_wg_RIO_Lodz!AE9</f>
        <v>0</v>
      </c>
      <c r="AC7" s="55">
        <f>+Zal_1_WPF_wg_RIO_Lodz!AF9</f>
        <v>0</v>
      </c>
      <c r="AD7" s="55">
        <f>+Zal_1_WPF_wg_RIO_Lodz!AG9</f>
        <v>0</v>
      </c>
      <c r="AE7" s="55">
        <f>+Zal_1_WPF_wg_RIO_Lodz!AH9</f>
        <v>0</v>
      </c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4" s="65" customFormat="1" ht="12">
      <c r="A8" s="66" t="s">
        <v>127</v>
      </c>
      <c r="B8" s="55">
        <f>+Zal_1_WPF_wg_RIO_Lodz!E42</f>
        <v>62935162.15</v>
      </c>
      <c r="C8" s="55">
        <f>+Zal_1_WPF_wg_RIO_Lodz!F42</f>
        <v>64800100</v>
      </c>
      <c r="D8" s="55">
        <f>+Zal_1_WPF_wg_RIO_Lodz!G42</f>
        <v>67311500</v>
      </c>
      <c r="E8" s="55">
        <f>+Zal_1_WPF_wg_RIO_Lodz!H42</f>
        <v>70001230</v>
      </c>
      <c r="F8" s="55">
        <f>+Zal_1_WPF_wg_RIO_Lodz!I42</f>
        <v>72810500</v>
      </c>
      <c r="G8" s="55">
        <f>+Zal_1_WPF_wg_RIO_Lodz!J42</f>
        <v>75722400</v>
      </c>
      <c r="H8" s="55">
        <f>+Zal_1_WPF_wg_RIO_Lodz!K42</f>
        <v>78751800</v>
      </c>
      <c r="I8" s="55">
        <f>+Zal_1_WPF_wg_RIO_Lodz!L42</f>
        <v>81900000</v>
      </c>
      <c r="J8" s="55">
        <f>+Zal_1_WPF_wg_RIO_Lodz!M42</f>
        <v>85176000</v>
      </c>
      <c r="K8" s="55">
        <f>+Zal_1_WPF_wg_RIO_Lodz!N42</f>
        <v>85161720</v>
      </c>
      <c r="L8" s="55">
        <f>+Zal_1_WPF_wg_RIO_Lodz!O42</f>
        <v>0</v>
      </c>
      <c r="M8" s="55">
        <f>+Zal_1_WPF_wg_RIO_Lodz!P42</f>
        <v>0</v>
      </c>
      <c r="N8" s="55">
        <f>+Zal_1_WPF_wg_RIO_Lodz!Q42</f>
        <v>0</v>
      </c>
      <c r="O8" s="55">
        <f>+Zal_1_WPF_wg_RIO_Lodz!R42</f>
        <v>0</v>
      </c>
      <c r="P8" s="55">
        <f>+Zal_1_WPF_wg_RIO_Lodz!S42</f>
        <v>0</v>
      </c>
      <c r="Q8" s="55">
        <f>+Zal_1_WPF_wg_RIO_Lodz!T42</f>
        <v>0</v>
      </c>
      <c r="R8" s="55">
        <f>+Zal_1_WPF_wg_RIO_Lodz!U42</f>
        <v>0</v>
      </c>
      <c r="S8" s="55">
        <f>+Zal_1_WPF_wg_RIO_Lodz!V42</f>
        <v>0</v>
      </c>
      <c r="T8" s="55">
        <f>+Zal_1_WPF_wg_RIO_Lodz!W42</f>
        <v>0</v>
      </c>
      <c r="U8" s="55">
        <f>+Zal_1_WPF_wg_RIO_Lodz!X42</f>
        <v>0</v>
      </c>
      <c r="V8" s="55">
        <f>+Zal_1_WPF_wg_RIO_Lodz!Y42</f>
        <v>0</v>
      </c>
      <c r="W8" s="55">
        <f>+Zal_1_WPF_wg_RIO_Lodz!Z42</f>
        <v>0</v>
      </c>
      <c r="X8" s="55">
        <f>+Zal_1_WPF_wg_RIO_Lodz!AA42</f>
        <v>0</v>
      </c>
      <c r="Y8" s="55">
        <f>+Zal_1_WPF_wg_RIO_Lodz!AB42</f>
        <v>0</v>
      </c>
      <c r="Z8" s="55">
        <f>+Zal_1_WPF_wg_RIO_Lodz!AC42</f>
        <v>0</v>
      </c>
      <c r="AA8" s="55">
        <f>+Zal_1_WPF_wg_RIO_Lodz!AD42</f>
        <v>0</v>
      </c>
      <c r="AB8" s="55">
        <f>+Zal_1_WPF_wg_RIO_Lodz!AE42</f>
        <v>0</v>
      </c>
      <c r="AC8" s="55">
        <f>+Zal_1_WPF_wg_RIO_Lodz!AF42</f>
        <v>0</v>
      </c>
      <c r="AD8" s="55">
        <f>+Zal_1_WPF_wg_RIO_Lodz!AG42</f>
        <v>0</v>
      </c>
      <c r="AE8" s="55">
        <f>+Zal_1_WPF_wg_RIO_Lodz!AH42</f>
        <v>0</v>
      </c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4" s="65" customFormat="1" ht="12">
      <c r="A9" s="67" t="s">
        <v>115</v>
      </c>
      <c r="B9" s="68">
        <f aca="true" t="shared" si="0" ref="B9:AR9">B6+B7-B8</f>
        <v>8492396.070000015</v>
      </c>
      <c r="C9" s="68">
        <f t="shared" si="0"/>
        <v>16140957.560000002</v>
      </c>
      <c r="D9" s="68">
        <f t="shared" si="0"/>
        <v>13923789</v>
      </c>
      <c r="E9" s="68">
        <f t="shared" si="0"/>
        <v>16041409</v>
      </c>
      <c r="F9" s="68">
        <f t="shared" si="0"/>
        <v>18712849</v>
      </c>
      <c r="G9" s="68">
        <f t="shared" si="0"/>
        <v>19771712</v>
      </c>
      <c r="H9" s="68">
        <f t="shared" si="0"/>
        <v>21814856</v>
      </c>
      <c r="I9" s="68">
        <f t="shared" si="0"/>
        <v>24698109</v>
      </c>
      <c r="J9" s="68">
        <f t="shared" si="0"/>
        <v>27885489</v>
      </c>
      <c r="K9" s="68">
        <f t="shared" si="0"/>
        <v>31653964</v>
      </c>
      <c r="L9" s="68">
        <f aca="true" t="shared" si="1" ref="L9:AE9">L6+L7-L8</f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0</v>
      </c>
      <c r="R9" s="68">
        <f t="shared" si="1"/>
        <v>0</v>
      </c>
      <c r="S9" s="68">
        <f t="shared" si="1"/>
        <v>0</v>
      </c>
      <c r="T9" s="68">
        <f t="shared" si="1"/>
        <v>0</v>
      </c>
      <c r="U9" s="68">
        <f t="shared" si="1"/>
        <v>0</v>
      </c>
      <c r="V9" s="68">
        <f t="shared" si="1"/>
        <v>0</v>
      </c>
      <c r="W9" s="68">
        <f t="shared" si="1"/>
        <v>0</v>
      </c>
      <c r="X9" s="68">
        <f t="shared" si="1"/>
        <v>0</v>
      </c>
      <c r="Y9" s="68">
        <f t="shared" si="1"/>
        <v>0</v>
      </c>
      <c r="Z9" s="68">
        <f t="shared" si="1"/>
        <v>0</v>
      </c>
      <c r="AA9" s="68">
        <f t="shared" si="1"/>
        <v>0</v>
      </c>
      <c r="AB9" s="68">
        <f t="shared" si="1"/>
        <v>0</v>
      </c>
      <c r="AC9" s="68">
        <f t="shared" si="1"/>
        <v>0</v>
      </c>
      <c r="AD9" s="68">
        <f t="shared" si="1"/>
        <v>0</v>
      </c>
      <c r="AE9" s="68">
        <f t="shared" si="1"/>
        <v>0</v>
      </c>
      <c r="AF9" s="68">
        <f t="shared" si="0"/>
        <v>0</v>
      </c>
      <c r="AG9" s="68">
        <f t="shared" si="0"/>
        <v>0</v>
      </c>
      <c r="AH9" s="68">
        <f t="shared" si="0"/>
        <v>0</v>
      </c>
      <c r="AI9" s="68">
        <f t="shared" si="0"/>
        <v>0</v>
      </c>
      <c r="AJ9" s="68">
        <f t="shared" si="0"/>
        <v>0</v>
      </c>
      <c r="AK9" s="68">
        <f t="shared" si="0"/>
        <v>0</v>
      </c>
      <c r="AL9" s="68">
        <f t="shared" si="0"/>
        <v>0</v>
      </c>
      <c r="AM9" s="68">
        <f t="shared" si="0"/>
        <v>0</v>
      </c>
      <c r="AN9" s="68">
        <f t="shared" si="0"/>
        <v>0</v>
      </c>
      <c r="AO9" s="68">
        <f t="shared" si="0"/>
        <v>0</v>
      </c>
      <c r="AP9" s="68">
        <f t="shared" si="0"/>
        <v>0</v>
      </c>
      <c r="AQ9" s="68">
        <f t="shared" si="0"/>
        <v>0</v>
      </c>
      <c r="AR9" s="68">
        <f t="shared" si="0"/>
        <v>0</v>
      </c>
    </row>
    <row r="10" spans="1:44" s="65" customFormat="1" ht="12">
      <c r="A10" s="69" t="s">
        <v>130</v>
      </c>
      <c r="B10" s="70">
        <f>+Zal_1_WPF_wg_RIO_Lodz!E6</f>
        <v>78898158.22000001</v>
      </c>
      <c r="C10" s="70">
        <f>+Zal_1_WPF_wg_RIO_Lodz!F6</f>
        <v>80941057.56</v>
      </c>
      <c r="D10" s="70">
        <f>+Zal_1_WPF_wg_RIO_Lodz!G6</f>
        <v>81235289</v>
      </c>
      <c r="E10" s="70">
        <f>+Zal_1_WPF_wg_RIO_Lodz!H6</f>
        <v>86042639</v>
      </c>
      <c r="F10" s="70">
        <f>+Zal_1_WPF_wg_RIO_Lodz!I6</f>
        <v>91523349</v>
      </c>
      <c r="G10" s="70">
        <f>+Zal_1_WPF_wg_RIO_Lodz!J6</f>
        <v>95494112</v>
      </c>
      <c r="H10" s="70">
        <f>+Zal_1_WPF_wg_RIO_Lodz!K6</f>
        <v>100566656</v>
      </c>
      <c r="I10" s="70">
        <f>+Zal_1_WPF_wg_RIO_Lodz!L6</f>
        <v>106598109</v>
      </c>
      <c r="J10" s="70">
        <f>+Zal_1_WPF_wg_RIO_Lodz!M6</f>
        <v>113061489</v>
      </c>
      <c r="K10" s="70">
        <f>+Zal_1_WPF_wg_RIO_Lodz!N6</f>
        <v>116815684</v>
      </c>
      <c r="L10" s="70">
        <f>+Zal_1_WPF_wg_RIO_Lodz!O6</f>
        <v>0</v>
      </c>
      <c r="M10" s="70">
        <f>+Zal_1_WPF_wg_RIO_Lodz!P6</f>
        <v>0</v>
      </c>
      <c r="N10" s="70">
        <f>+Zal_1_WPF_wg_RIO_Lodz!Q6</f>
        <v>0</v>
      </c>
      <c r="O10" s="70">
        <f>+Zal_1_WPF_wg_RIO_Lodz!R6</f>
        <v>0</v>
      </c>
      <c r="P10" s="70">
        <f>+Zal_1_WPF_wg_RIO_Lodz!S6</f>
        <v>0</v>
      </c>
      <c r="Q10" s="70">
        <f>+Zal_1_WPF_wg_RIO_Lodz!T6</f>
        <v>0</v>
      </c>
      <c r="R10" s="70">
        <f>+Zal_1_WPF_wg_RIO_Lodz!U6</f>
        <v>0</v>
      </c>
      <c r="S10" s="70">
        <f>+Zal_1_WPF_wg_RIO_Lodz!V6</f>
        <v>0</v>
      </c>
      <c r="T10" s="70">
        <f>+Zal_1_WPF_wg_RIO_Lodz!W6</f>
        <v>0</v>
      </c>
      <c r="U10" s="70">
        <f>+Zal_1_WPF_wg_RIO_Lodz!X6</f>
        <v>0</v>
      </c>
      <c r="V10" s="70">
        <f>+Zal_1_WPF_wg_RIO_Lodz!Y6</f>
        <v>0</v>
      </c>
      <c r="W10" s="70">
        <f>+Zal_1_WPF_wg_RIO_Lodz!Z6</f>
        <v>0</v>
      </c>
      <c r="X10" s="70">
        <f>+Zal_1_WPF_wg_RIO_Lodz!AA6</f>
        <v>0</v>
      </c>
      <c r="Y10" s="70">
        <f>+Zal_1_WPF_wg_RIO_Lodz!AB6</f>
        <v>0</v>
      </c>
      <c r="Z10" s="70">
        <f>+Zal_1_WPF_wg_RIO_Lodz!AC6</f>
        <v>0</v>
      </c>
      <c r="AA10" s="70">
        <f>+Zal_1_WPF_wg_RIO_Lodz!AD6</f>
        <v>0</v>
      </c>
      <c r="AB10" s="70">
        <f>+Zal_1_WPF_wg_RIO_Lodz!AE6</f>
        <v>0</v>
      </c>
      <c r="AC10" s="70">
        <f>+Zal_1_WPF_wg_RIO_Lodz!AF6</f>
        <v>0</v>
      </c>
      <c r="AD10" s="70">
        <f>+Zal_1_WPF_wg_RIO_Lodz!AG6</f>
        <v>0</v>
      </c>
      <c r="AE10" s="70">
        <f>+Zal_1_WPF_wg_RIO_Lodz!AH6</f>
        <v>0</v>
      </c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1:44" s="65" customFormat="1" ht="12">
      <c r="A11" s="67" t="s">
        <v>116</v>
      </c>
      <c r="B11" s="56">
        <f aca="true" t="shared" si="2" ref="B11:AR11">IF(B10&lt;&gt;0,B9/B10,"")</f>
        <v>0.10763744378315875</v>
      </c>
      <c r="C11" s="56">
        <f t="shared" si="2"/>
        <v>0.19941619304930666</v>
      </c>
      <c r="D11" s="56">
        <f t="shared" si="2"/>
        <v>0.1714007443243047</v>
      </c>
      <c r="E11" s="56">
        <f t="shared" si="2"/>
        <v>0.18643557643553912</v>
      </c>
      <c r="F11" s="56">
        <f t="shared" si="2"/>
        <v>0.20445983680077093</v>
      </c>
      <c r="G11" s="56">
        <f t="shared" si="2"/>
        <v>0.20704639883975254</v>
      </c>
      <c r="H11" s="56">
        <f t="shared" si="2"/>
        <v>0.21691937335571743</v>
      </c>
      <c r="I11" s="56">
        <f t="shared" si="2"/>
        <v>0.23169368792461412</v>
      </c>
      <c r="J11" s="56">
        <f t="shared" si="2"/>
        <v>0.2466400296567826</v>
      </c>
      <c r="K11" s="56">
        <f t="shared" si="2"/>
        <v>0.27097357919849185</v>
      </c>
      <c r="L11" s="56">
        <f aca="true" t="shared" si="3" ref="L11:AE11">IF(L10&lt;&gt;0,L9/L10,"")</f>
      </c>
      <c r="M11" s="56">
        <f t="shared" si="3"/>
      </c>
      <c r="N11" s="56">
        <f t="shared" si="3"/>
      </c>
      <c r="O11" s="56">
        <f t="shared" si="3"/>
      </c>
      <c r="P11" s="56">
        <f t="shared" si="3"/>
      </c>
      <c r="Q11" s="56">
        <f t="shared" si="3"/>
      </c>
      <c r="R11" s="56">
        <f t="shared" si="3"/>
      </c>
      <c r="S11" s="56">
        <f t="shared" si="3"/>
      </c>
      <c r="T11" s="56">
        <f t="shared" si="3"/>
      </c>
      <c r="U11" s="56">
        <f t="shared" si="3"/>
      </c>
      <c r="V11" s="56">
        <f t="shared" si="3"/>
      </c>
      <c r="W11" s="56">
        <f t="shared" si="3"/>
      </c>
      <c r="X11" s="56">
        <f t="shared" si="3"/>
      </c>
      <c r="Y11" s="56">
        <f t="shared" si="3"/>
      </c>
      <c r="Z11" s="56">
        <f t="shared" si="3"/>
      </c>
      <c r="AA11" s="56">
        <f t="shared" si="3"/>
      </c>
      <c r="AB11" s="56">
        <f t="shared" si="3"/>
      </c>
      <c r="AC11" s="56">
        <f t="shared" si="3"/>
      </c>
      <c r="AD11" s="56">
        <f t="shared" si="3"/>
      </c>
      <c r="AE11" s="56">
        <f t="shared" si="3"/>
      </c>
      <c r="AF11" s="56">
        <f t="shared" si="2"/>
      </c>
      <c r="AG11" s="56">
        <f t="shared" si="2"/>
      </c>
      <c r="AH11" s="56">
        <f t="shared" si="2"/>
      </c>
      <c r="AI11" s="56">
        <f t="shared" si="2"/>
      </c>
      <c r="AJ11" s="56">
        <f t="shared" si="2"/>
      </c>
      <c r="AK11" s="56">
        <f t="shared" si="2"/>
      </c>
      <c r="AL11" s="56">
        <f t="shared" si="2"/>
      </c>
      <c r="AM11" s="56">
        <f t="shared" si="2"/>
      </c>
      <c r="AN11" s="56">
        <f t="shared" si="2"/>
      </c>
      <c r="AO11" s="56">
        <f t="shared" si="2"/>
      </c>
      <c r="AP11" s="56">
        <f t="shared" si="2"/>
      </c>
      <c r="AQ11" s="56">
        <f t="shared" si="2"/>
      </c>
      <c r="AR11" s="56">
        <f t="shared" si="2"/>
      </c>
    </row>
    <row r="12" spans="1:44" s="65" customFormat="1" ht="12">
      <c r="A12" s="71" t="s">
        <v>117</v>
      </c>
      <c r="B12" s="112">
        <f>+Zal_1_WPF_wg_RIO_Lodz!E37</f>
        <v>0.2897</v>
      </c>
      <c r="C12" s="112">
        <f>+Zal_1_WPF_wg_RIO_Lodz!F37</f>
        <v>0.2107</v>
      </c>
      <c r="D12" s="112">
        <f>+Zal_1_WPF_wg_RIO_Lodz!G37</f>
        <v>0.1421</v>
      </c>
      <c r="E12" s="57">
        <f aca="true" t="shared" si="4" ref="E12:K12">SUM(B11:D11)/3</f>
        <v>0.15948479371892335</v>
      </c>
      <c r="F12" s="57">
        <f t="shared" si="4"/>
        <v>0.18575083793638347</v>
      </c>
      <c r="G12" s="57">
        <f t="shared" si="4"/>
        <v>0.18743205252020492</v>
      </c>
      <c r="H12" s="57">
        <f t="shared" si="4"/>
        <v>0.19931393735868752</v>
      </c>
      <c r="I12" s="57">
        <f t="shared" si="4"/>
        <v>0.20947520299874697</v>
      </c>
      <c r="J12" s="57">
        <f t="shared" si="4"/>
        <v>0.21855315337336134</v>
      </c>
      <c r="K12" s="57">
        <f t="shared" si="4"/>
        <v>0.2317510303123714</v>
      </c>
      <c r="L12" s="57">
        <f aca="true" t="shared" si="5" ref="L12:AE12">SUM(I11:K11)/3</f>
        <v>0.24976909892662955</v>
      </c>
      <c r="M12" s="57">
        <f t="shared" si="5"/>
        <v>0.17253786961842485</v>
      </c>
      <c r="N12" s="57">
        <f t="shared" si="5"/>
        <v>0.09032452639949728</v>
      </c>
      <c r="O12" s="57">
        <f t="shared" si="5"/>
        <v>0</v>
      </c>
      <c r="P12" s="57">
        <f t="shared" si="5"/>
        <v>0</v>
      </c>
      <c r="Q12" s="57">
        <f t="shared" si="5"/>
        <v>0</v>
      </c>
      <c r="R12" s="57">
        <f t="shared" si="5"/>
        <v>0</v>
      </c>
      <c r="S12" s="57">
        <f t="shared" si="5"/>
        <v>0</v>
      </c>
      <c r="T12" s="57">
        <f t="shared" si="5"/>
        <v>0</v>
      </c>
      <c r="U12" s="57">
        <f t="shared" si="5"/>
        <v>0</v>
      </c>
      <c r="V12" s="57">
        <f t="shared" si="5"/>
        <v>0</v>
      </c>
      <c r="W12" s="57">
        <f t="shared" si="5"/>
        <v>0</v>
      </c>
      <c r="X12" s="57">
        <f t="shared" si="5"/>
        <v>0</v>
      </c>
      <c r="Y12" s="57">
        <f t="shared" si="5"/>
        <v>0</v>
      </c>
      <c r="Z12" s="57">
        <f t="shared" si="5"/>
        <v>0</v>
      </c>
      <c r="AA12" s="57">
        <f t="shared" si="5"/>
        <v>0</v>
      </c>
      <c r="AB12" s="57">
        <f t="shared" si="5"/>
        <v>0</v>
      </c>
      <c r="AC12" s="57">
        <f t="shared" si="5"/>
        <v>0</v>
      </c>
      <c r="AD12" s="57">
        <f t="shared" si="5"/>
        <v>0</v>
      </c>
      <c r="AE12" s="57">
        <f t="shared" si="5"/>
        <v>0</v>
      </c>
      <c r="AF12" s="57">
        <f aca="true" t="shared" si="6" ref="AF12:AR12">SUM(AC11:AE11)/3</f>
        <v>0</v>
      </c>
      <c r="AG12" s="57">
        <f t="shared" si="6"/>
        <v>0</v>
      </c>
      <c r="AH12" s="57">
        <f t="shared" si="6"/>
        <v>0</v>
      </c>
      <c r="AI12" s="57">
        <f t="shared" si="6"/>
        <v>0</v>
      </c>
      <c r="AJ12" s="57">
        <f t="shared" si="6"/>
        <v>0</v>
      </c>
      <c r="AK12" s="57">
        <f t="shared" si="6"/>
        <v>0</v>
      </c>
      <c r="AL12" s="57">
        <f t="shared" si="6"/>
        <v>0</v>
      </c>
      <c r="AM12" s="57">
        <f t="shared" si="6"/>
        <v>0</v>
      </c>
      <c r="AN12" s="57">
        <f t="shared" si="6"/>
        <v>0</v>
      </c>
      <c r="AO12" s="57">
        <f t="shared" si="6"/>
        <v>0</v>
      </c>
      <c r="AP12" s="57">
        <f t="shared" si="6"/>
        <v>0</v>
      </c>
      <c r="AQ12" s="57">
        <f t="shared" si="6"/>
        <v>0</v>
      </c>
      <c r="AR12" s="57">
        <f t="shared" si="6"/>
        <v>0</v>
      </c>
    </row>
    <row r="13" spans="1:44" s="65" customFormat="1" ht="15">
      <c r="A13" s="46" t="s">
        <v>118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</row>
    <row r="14" spans="1:44" s="65" customFormat="1" ht="12.75" thickBot="1">
      <c r="A14" s="111" t="s">
        <v>119</v>
      </c>
      <c r="B14" s="58">
        <v>2011</v>
      </c>
      <c r="C14" s="58">
        <v>2012</v>
      </c>
      <c r="D14" s="58">
        <v>2013</v>
      </c>
      <c r="E14" s="58">
        <v>2014</v>
      </c>
      <c r="F14" s="58">
        <v>2015</v>
      </c>
      <c r="G14" s="58">
        <v>2016</v>
      </c>
      <c r="H14" s="58">
        <v>2017</v>
      </c>
      <c r="I14" s="58">
        <v>2018</v>
      </c>
      <c r="J14" s="58">
        <v>2019</v>
      </c>
      <c r="K14" s="58">
        <v>2020</v>
      </c>
      <c r="L14" s="58">
        <v>2021</v>
      </c>
      <c r="M14" s="58">
        <v>2022</v>
      </c>
      <c r="N14" s="58">
        <v>2023</v>
      </c>
      <c r="O14" s="58">
        <v>2024</v>
      </c>
      <c r="P14" s="58">
        <v>2025</v>
      </c>
      <c r="Q14" s="58">
        <v>2026</v>
      </c>
      <c r="R14" s="58">
        <v>2027</v>
      </c>
      <c r="S14" s="58">
        <v>2028</v>
      </c>
      <c r="T14" s="58">
        <v>2029</v>
      </c>
      <c r="U14" s="58">
        <v>2030</v>
      </c>
      <c r="V14" s="58">
        <v>2031</v>
      </c>
      <c r="W14" s="58">
        <v>2032</v>
      </c>
      <c r="X14" s="58">
        <v>2033</v>
      </c>
      <c r="Y14" s="58">
        <v>2034</v>
      </c>
      <c r="Z14" s="58">
        <v>2035</v>
      </c>
      <c r="AA14" s="58">
        <v>2036</v>
      </c>
      <c r="AB14" s="58">
        <v>2037</v>
      </c>
      <c r="AC14" s="58">
        <v>2038</v>
      </c>
      <c r="AD14" s="58">
        <v>2039</v>
      </c>
      <c r="AE14" s="58">
        <v>2040</v>
      </c>
      <c r="AF14" s="58">
        <v>2041</v>
      </c>
      <c r="AG14" s="58">
        <v>2042</v>
      </c>
      <c r="AH14" s="58">
        <v>2043</v>
      </c>
      <c r="AI14" s="58">
        <v>2044</v>
      </c>
      <c r="AJ14" s="58">
        <v>2045</v>
      </c>
      <c r="AK14" s="58">
        <v>2046</v>
      </c>
      <c r="AL14" s="58">
        <v>2047</v>
      </c>
      <c r="AM14" s="58">
        <v>2048</v>
      </c>
      <c r="AN14" s="58">
        <v>2049</v>
      </c>
      <c r="AO14" s="58">
        <v>2050</v>
      </c>
      <c r="AP14" s="58">
        <v>2051</v>
      </c>
      <c r="AQ14" s="58">
        <v>2052</v>
      </c>
      <c r="AR14" s="59">
        <v>2053</v>
      </c>
    </row>
    <row r="15" spans="1:44" s="65" customFormat="1" ht="12">
      <c r="A15" s="73" t="s">
        <v>131</v>
      </c>
      <c r="B15" s="74">
        <f>+Zal_1_WPF_wg_RIO_Lodz!E22</f>
        <v>6285426</v>
      </c>
      <c r="C15" s="74">
        <f>+Zal_1_WPF_wg_RIO_Lodz!F22</f>
        <v>6075426</v>
      </c>
      <c r="D15" s="74">
        <f>+Zal_1_WPF_wg_RIO_Lodz!G22</f>
        <v>6737812</v>
      </c>
      <c r="E15" s="74">
        <f>+Zal_1_WPF_wg_RIO_Lodz!H22</f>
        <v>6401690</v>
      </c>
      <c r="F15" s="74">
        <f>+Zal_1_WPF_wg_RIO_Lodz!I22</f>
        <v>5979257</v>
      </c>
      <c r="G15" s="74">
        <f>+Zal_1_WPF_wg_RIO_Lodz!J22</f>
        <v>6093547</v>
      </c>
      <c r="H15" s="74">
        <f>+Zal_1_WPF_wg_RIO_Lodz!K22</f>
        <v>6524716</v>
      </c>
      <c r="I15" s="74">
        <f>+Zal_1_WPF_wg_RIO_Lodz!L22</f>
        <v>6390000</v>
      </c>
      <c r="J15" s="74">
        <f>+Zal_1_WPF_wg_RIO_Lodz!M22</f>
        <v>6440000</v>
      </c>
      <c r="K15" s="74">
        <f>+Zal_1_WPF_wg_RIO_Lodz!N22</f>
        <v>10842265</v>
      </c>
      <c r="L15" s="60">
        <f>+Zal_1_WPF_wg_RIO_Lodz!O22</f>
        <v>0</v>
      </c>
      <c r="M15" s="60">
        <f>+Zal_1_WPF_wg_RIO_Lodz!P22</f>
        <v>0</v>
      </c>
      <c r="N15" s="60">
        <f>+Zal_1_WPF_wg_RIO_Lodz!Q22</f>
        <v>0</v>
      </c>
      <c r="O15" s="60">
        <f>+Zal_1_WPF_wg_RIO_Lodz!R22</f>
        <v>0</v>
      </c>
      <c r="P15" s="60">
        <f>+Zal_1_WPF_wg_RIO_Lodz!S22</f>
        <v>0</v>
      </c>
      <c r="Q15" s="60">
        <f>+Zal_1_WPF_wg_RIO_Lodz!T22</f>
        <v>0</v>
      </c>
      <c r="R15" s="60">
        <f>+Zal_1_WPF_wg_RIO_Lodz!U22</f>
        <v>0</v>
      </c>
      <c r="S15" s="60">
        <f>+Zal_1_WPF_wg_RIO_Lodz!V22</f>
        <v>0</v>
      </c>
      <c r="T15" s="60">
        <f>+Zal_1_WPF_wg_RIO_Lodz!W22</f>
        <v>0</v>
      </c>
      <c r="U15" s="60">
        <f>+Zal_1_WPF_wg_RIO_Lodz!X22</f>
        <v>0</v>
      </c>
      <c r="V15" s="60">
        <f>+Zal_1_WPF_wg_RIO_Lodz!Y22</f>
        <v>0</v>
      </c>
      <c r="W15" s="60">
        <f>+Zal_1_WPF_wg_RIO_Lodz!Z22</f>
        <v>0</v>
      </c>
      <c r="X15" s="60">
        <f>+Zal_1_WPF_wg_RIO_Lodz!AA22</f>
        <v>0</v>
      </c>
      <c r="Y15" s="60">
        <f>+Zal_1_WPF_wg_RIO_Lodz!AB22</f>
        <v>0</v>
      </c>
      <c r="Z15" s="60">
        <f>+Zal_1_WPF_wg_RIO_Lodz!AC22</f>
        <v>0</v>
      </c>
      <c r="AA15" s="60">
        <f>+Zal_1_WPF_wg_RIO_Lodz!AD22</f>
        <v>0</v>
      </c>
      <c r="AB15" s="60">
        <f>+Zal_1_WPF_wg_RIO_Lodz!AE22</f>
        <v>0</v>
      </c>
      <c r="AC15" s="60">
        <f>+Zal_1_WPF_wg_RIO_Lodz!AF22</f>
        <v>0</v>
      </c>
      <c r="AD15" s="60">
        <f>+Zal_1_WPF_wg_RIO_Lodz!AG22</f>
        <v>0</v>
      </c>
      <c r="AE15" s="60">
        <f>+Zal_1_WPF_wg_RIO_Lodz!AH22</f>
        <v>0</v>
      </c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</row>
    <row r="16" spans="1:44" s="65" customFormat="1" ht="12">
      <c r="A16" s="75" t="s">
        <v>132</v>
      </c>
      <c r="B16" s="70">
        <f>+Zal_1_WPF_wg_RIO_Lodz!E24</f>
        <v>1257101</v>
      </c>
      <c r="C16" s="70">
        <f>+Zal_1_WPF_wg_RIO_Lodz!F24</f>
        <v>1881956</v>
      </c>
      <c r="D16" s="70">
        <f>+Zal_1_WPF_wg_RIO_Lodz!G24</f>
        <v>2147430</v>
      </c>
      <c r="E16" s="70">
        <f>+Zal_1_WPF_wg_RIO_Lodz!H24</f>
        <v>2223162</v>
      </c>
      <c r="F16" s="70">
        <f>+Zal_1_WPF_wg_RIO_Lodz!I24</f>
        <v>2319060</v>
      </c>
      <c r="G16" s="70">
        <f>+Zal_1_WPF_wg_RIO_Lodz!J24</f>
        <v>1948276</v>
      </c>
      <c r="H16" s="70">
        <f>+Zal_1_WPF_wg_RIO_Lodz!K24</f>
        <v>1582663</v>
      </c>
      <c r="I16" s="70">
        <f>+Zal_1_WPF_wg_RIO_Lodz!L24</f>
        <v>1191180</v>
      </c>
      <c r="J16" s="70">
        <f>+Zal_1_WPF_wg_RIO_Lodz!M24</f>
        <v>807780</v>
      </c>
      <c r="K16" s="70">
        <f>+Zal_1_WPF_wg_RIO_Lodz!N24</f>
        <v>421380</v>
      </c>
      <c r="L16" s="70">
        <f>+Zal_1_WPF_wg_RIO_Lodz!O24</f>
        <v>0</v>
      </c>
      <c r="M16" s="70">
        <f>+Zal_1_WPF_wg_RIO_Lodz!P24</f>
        <v>0</v>
      </c>
      <c r="N16" s="70">
        <f>+Zal_1_WPF_wg_RIO_Lodz!Q24</f>
        <v>0</v>
      </c>
      <c r="O16" s="70">
        <f>+Zal_1_WPF_wg_RIO_Lodz!R24</f>
        <v>0</v>
      </c>
      <c r="P16" s="70">
        <f>+Zal_1_WPF_wg_RIO_Lodz!S24</f>
        <v>0</v>
      </c>
      <c r="Q16" s="70">
        <f>+Zal_1_WPF_wg_RIO_Lodz!T24</f>
        <v>0</v>
      </c>
      <c r="R16" s="70">
        <f>+Zal_1_WPF_wg_RIO_Lodz!U24</f>
        <v>0</v>
      </c>
      <c r="S16" s="70">
        <f>+Zal_1_WPF_wg_RIO_Lodz!V24</f>
        <v>0</v>
      </c>
      <c r="T16" s="70">
        <f>+Zal_1_WPF_wg_RIO_Lodz!W24</f>
        <v>0</v>
      </c>
      <c r="U16" s="70">
        <f>+Zal_1_WPF_wg_RIO_Lodz!X24</f>
        <v>0</v>
      </c>
      <c r="V16" s="70">
        <f>+Zal_1_WPF_wg_RIO_Lodz!Y24</f>
        <v>0</v>
      </c>
      <c r="W16" s="70">
        <f>+Zal_1_WPF_wg_RIO_Lodz!Z24</f>
        <v>0</v>
      </c>
      <c r="X16" s="70">
        <f>+Zal_1_WPF_wg_RIO_Lodz!AA24</f>
        <v>0</v>
      </c>
      <c r="Y16" s="70">
        <f>+Zal_1_WPF_wg_RIO_Lodz!AB24</f>
        <v>0</v>
      </c>
      <c r="Z16" s="70">
        <f>+Zal_1_WPF_wg_RIO_Lodz!AC24</f>
        <v>0</v>
      </c>
      <c r="AA16" s="70">
        <f>+Zal_1_WPF_wg_RIO_Lodz!AD24</f>
        <v>0</v>
      </c>
      <c r="AB16" s="70">
        <f>+Zal_1_WPF_wg_RIO_Lodz!AE24</f>
        <v>0</v>
      </c>
      <c r="AC16" s="70">
        <f>+Zal_1_WPF_wg_RIO_Lodz!AF24</f>
        <v>0</v>
      </c>
      <c r="AD16" s="70">
        <f>+Zal_1_WPF_wg_RIO_Lodz!AG24</f>
        <v>0</v>
      </c>
      <c r="AE16" s="70">
        <f>+Zal_1_WPF_wg_RIO_Lodz!AH24</f>
        <v>0</v>
      </c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6"/>
    </row>
    <row r="17" spans="1:44" s="65" customFormat="1" ht="12">
      <c r="A17" s="75" t="s">
        <v>133</v>
      </c>
      <c r="B17" s="70">
        <f>+Zal_1_WPF_wg_RIO_Lodz!E13</f>
        <v>0</v>
      </c>
      <c r="C17" s="70">
        <f>+Zal_1_WPF_wg_RIO_Lodz!F13</f>
        <v>0</v>
      </c>
      <c r="D17" s="70">
        <f>+Zal_1_WPF_wg_RIO_Lodz!G13</f>
        <v>0</v>
      </c>
      <c r="E17" s="70">
        <f>+Zal_1_WPF_wg_RIO_Lodz!H13</f>
        <v>0</v>
      </c>
      <c r="F17" s="70">
        <f>+Zal_1_WPF_wg_RIO_Lodz!I13</f>
        <v>0</v>
      </c>
      <c r="G17" s="70">
        <f>+Zal_1_WPF_wg_RIO_Lodz!J13</f>
        <v>0</v>
      </c>
      <c r="H17" s="70">
        <f>+Zal_1_WPF_wg_RIO_Lodz!K13</f>
        <v>0</v>
      </c>
      <c r="I17" s="70">
        <f>+Zal_1_WPF_wg_RIO_Lodz!L13</f>
        <v>0</v>
      </c>
      <c r="J17" s="70">
        <f>+Zal_1_WPF_wg_RIO_Lodz!M13</f>
        <v>0</v>
      </c>
      <c r="K17" s="70">
        <f>+Zal_1_WPF_wg_RIO_Lodz!N13</f>
        <v>0</v>
      </c>
      <c r="L17" s="70">
        <f>+Zal_1_WPF_wg_RIO_Lodz!O13</f>
        <v>0</v>
      </c>
      <c r="M17" s="70">
        <f>+Zal_1_WPF_wg_RIO_Lodz!P13</f>
        <v>0</v>
      </c>
      <c r="N17" s="70">
        <f>+Zal_1_WPF_wg_RIO_Lodz!Q13</f>
        <v>0</v>
      </c>
      <c r="O17" s="70">
        <f>+Zal_1_WPF_wg_RIO_Lodz!R13</f>
        <v>0</v>
      </c>
      <c r="P17" s="70">
        <f>+Zal_1_WPF_wg_RIO_Lodz!S13</f>
        <v>0</v>
      </c>
      <c r="Q17" s="70">
        <f>+Zal_1_WPF_wg_RIO_Lodz!T13</f>
        <v>0</v>
      </c>
      <c r="R17" s="70">
        <f>+Zal_1_WPF_wg_RIO_Lodz!U13</f>
        <v>0</v>
      </c>
      <c r="S17" s="70">
        <f>+Zal_1_WPF_wg_RIO_Lodz!V13</f>
        <v>0</v>
      </c>
      <c r="T17" s="70">
        <f>+Zal_1_WPF_wg_RIO_Lodz!W13</f>
        <v>0</v>
      </c>
      <c r="U17" s="70">
        <f>+Zal_1_WPF_wg_RIO_Lodz!X13</f>
        <v>0</v>
      </c>
      <c r="V17" s="70">
        <f>+Zal_1_WPF_wg_RIO_Lodz!Y13</f>
        <v>0</v>
      </c>
      <c r="W17" s="70">
        <f>+Zal_1_WPF_wg_RIO_Lodz!Z13</f>
        <v>0</v>
      </c>
      <c r="X17" s="70">
        <f>+Zal_1_WPF_wg_RIO_Lodz!AA13</f>
        <v>0</v>
      </c>
      <c r="Y17" s="70">
        <f>+Zal_1_WPF_wg_RIO_Lodz!AB13</f>
        <v>0</v>
      </c>
      <c r="Z17" s="70">
        <f>+Zal_1_WPF_wg_RIO_Lodz!AC13</f>
        <v>0</v>
      </c>
      <c r="AA17" s="70">
        <f>+Zal_1_WPF_wg_RIO_Lodz!AD13</f>
        <v>0</v>
      </c>
      <c r="AB17" s="70">
        <f>+Zal_1_WPF_wg_RIO_Lodz!AE13</f>
        <v>0</v>
      </c>
      <c r="AC17" s="70">
        <f>+Zal_1_WPF_wg_RIO_Lodz!AF13</f>
        <v>0</v>
      </c>
      <c r="AD17" s="70">
        <f>+Zal_1_WPF_wg_RIO_Lodz!AG13</f>
        <v>0</v>
      </c>
      <c r="AE17" s="70">
        <f>+Zal_1_WPF_wg_RIO_Lodz!AH13</f>
        <v>0</v>
      </c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6"/>
    </row>
    <row r="18" spans="1:44" s="65" customFormat="1" ht="24.75" thickBot="1">
      <c r="A18" s="77" t="s">
        <v>120</v>
      </c>
      <c r="B18" s="78">
        <f>SUM(B15:B17)</f>
        <v>7542527</v>
      </c>
      <c r="C18" s="78">
        <f aca="true" t="shared" si="7" ref="C18:AR18">SUM(C15:C17)</f>
        <v>7957382</v>
      </c>
      <c r="D18" s="78">
        <f t="shared" si="7"/>
        <v>8885242</v>
      </c>
      <c r="E18" s="78">
        <f t="shared" si="7"/>
        <v>8624852</v>
      </c>
      <c r="F18" s="78">
        <f t="shared" si="7"/>
        <v>8298317</v>
      </c>
      <c r="G18" s="78">
        <f t="shared" si="7"/>
        <v>8041823</v>
      </c>
      <c r="H18" s="78">
        <f t="shared" si="7"/>
        <v>8107379</v>
      </c>
      <c r="I18" s="78">
        <f t="shared" si="7"/>
        <v>7581180</v>
      </c>
      <c r="J18" s="78">
        <f t="shared" si="7"/>
        <v>7247780</v>
      </c>
      <c r="K18" s="78">
        <f t="shared" si="7"/>
        <v>11263645</v>
      </c>
      <c r="L18" s="78">
        <f aca="true" t="shared" si="8" ref="L18:AE18">SUM(L15:L17)</f>
        <v>0</v>
      </c>
      <c r="M18" s="78">
        <f t="shared" si="8"/>
        <v>0</v>
      </c>
      <c r="N18" s="78">
        <f t="shared" si="8"/>
        <v>0</v>
      </c>
      <c r="O18" s="78">
        <f t="shared" si="8"/>
        <v>0</v>
      </c>
      <c r="P18" s="78">
        <f t="shared" si="8"/>
        <v>0</v>
      </c>
      <c r="Q18" s="78">
        <f t="shared" si="8"/>
        <v>0</v>
      </c>
      <c r="R18" s="78">
        <f t="shared" si="8"/>
        <v>0</v>
      </c>
      <c r="S18" s="78">
        <f t="shared" si="8"/>
        <v>0</v>
      </c>
      <c r="T18" s="78">
        <f t="shared" si="8"/>
        <v>0</v>
      </c>
      <c r="U18" s="78">
        <f t="shared" si="8"/>
        <v>0</v>
      </c>
      <c r="V18" s="78">
        <f t="shared" si="8"/>
        <v>0</v>
      </c>
      <c r="W18" s="78">
        <f t="shared" si="8"/>
        <v>0</v>
      </c>
      <c r="X18" s="78">
        <f t="shared" si="8"/>
        <v>0</v>
      </c>
      <c r="Y18" s="78">
        <f t="shared" si="8"/>
        <v>0</v>
      </c>
      <c r="Z18" s="78">
        <f t="shared" si="8"/>
        <v>0</v>
      </c>
      <c r="AA18" s="78">
        <f t="shared" si="8"/>
        <v>0</v>
      </c>
      <c r="AB18" s="78">
        <f t="shared" si="8"/>
        <v>0</v>
      </c>
      <c r="AC18" s="78">
        <f t="shared" si="8"/>
        <v>0</v>
      </c>
      <c r="AD18" s="78">
        <f t="shared" si="8"/>
        <v>0</v>
      </c>
      <c r="AE18" s="78">
        <f t="shared" si="8"/>
        <v>0</v>
      </c>
      <c r="AF18" s="78">
        <f t="shared" si="7"/>
        <v>0</v>
      </c>
      <c r="AG18" s="78">
        <f t="shared" si="7"/>
        <v>0</v>
      </c>
      <c r="AH18" s="78">
        <f t="shared" si="7"/>
        <v>0</v>
      </c>
      <c r="AI18" s="78">
        <f t="shared" si="7"/>
        <v>0</v>
      </c>
      <c r="AJ18" s="78">
        <f t="shared" si="7"/>
        <v>0</v>
      </c>
      <c r="AK18" s="78">
        <f t="shared" si="7"/>
        <v>0</v>
      </c>
      <c r="AL18" s="78">
        <f t="shared" si="7"/>
        <v>0</v>
      </c>
      <c r="AM18" s="78">
        <f t="shared" si="7"/>
        <v>0</v>
      </c>
      <c r="AN18" s="78">
        <f t="shared" si="7"/>
        <v>0</v>
      </c>
      <c r="AO18" s="78">
        <f t="shared" si="7"/>
        <v>0</v>
      </c>
      <c r="AP18" s="78">
        <f t="shared" si="7"/>
        <v>0</v>
      </c>
      <c r="AQ18" s="78">
        <f t="shared" si="7"/>
        <v>0</v>
      </c>
      <c r="AR18" s="79">
        <f t="shared" si="7"/>
        <v>0</v>
      </c>
    </row>
    <row r="19" spans="1:44" s="65" customFormat="1" ht="12.75" thickBot="1">
      <c r="A19" s="80" t="s">
        <v>121</v>
      </c>
      <c r="B19" s="81">
        <f>B10</f>
        <v>78898158.22000001</v>
      </c>
      <c r="C19" s="81">
        <f aca="true" t="shared" si="9" ref="C19:AR19">C10</f>
        <v>80941057.56</v>
      </c>
      <c r="D19" s="81">
        <f t="shared" si="9"/>
        <v>81235289</v>
      </c>
      <c r="E19" s="81">
        <f t="shared" si="9"/>
        <v>86042639</v>
      </c>
      <c r="F19" s="81">
        <f t="shared" si="9"/>
        <v>91523349</v>
      </c>
      <c r="G19" s="81">
        <f t="shared" si="9"/>
        <v>95494112</v>
      </c>
      <c r="H19" s="81">
        <f t="shared" si="9"/>
        <v>100566656</v>
      </c>
      <c r="I19" s="81">
        <f t="shared" si="9"/>
        <v>106598109</v>
      </c>
      <c r="J19" s="81">
        <f t="shared" si="9"/>
        <v>113061489</v>
      </c>
      <c r="K19" s="81">
        <f t="shared" si="9"/>
        <v>116815684</v>
      </c>
      <c r="L19" s="81">
        <f aca="true" t="shared" si="10" ref="L19:AE19">L10</f>
        <v>0</v>
      </c>
      <c r="M19" s="81">
        <f t="shared" si="10"/>
        <v>0</v>
      </c>
      <c r="N19" s="81">
        <f t="shared" si="10"/>
        <v>0</v>
      </c>
      <c r="O19" s="81">
        <f t="shared" si="10"/>
        <v>0</v>
      </c>
      <c r="P19" s="81">
        <f t="shared" si="10"/>
        <v>0</v>
      </c>
      <c r="Q19" s="81">
        <f t="shared" si="10"/>
        <v>0</v>
      </c>
      <c r="R19" s="81">
        <f t="shared" si="10"/>
        <v>0</v>
      </c>
      <c r="S19" s="81">
        <f t="shared" si="10"/>
        <v>0</v>
      </c>
      <c r="T19" s="81">
        <f t="shared" si="10"/>
        <v>0</v>
      </c>
      <c r="U19" s="81">
        <f t="shared" si="10"/>
        <v>0</v>
      </c>
      <c r="V19" s="81">
        <f t="shared" si="10"/>
        <v>0</v>
      </c>
      <c r="W19" s="81">
        <f t="shared" si="10"/>
        <v>0</v>
      </c>
      <c r="X19" s="81">
        <f t="shared" si="10"/>
        <v>0</v>
      </c>
      <c r="Y19" s="81">
        <f t="shared" si="10"/>
        <v>0</v>
      </c>
      <c r="Z19" s="81">
        <f t="shared" si="10"/>
        <v>0</v>
      </c>
      <c r="AA19" s="81">
        <f t="shared" si="10"/>
        <v>0</v>
      </c>
      <c r="AB19" s="81">
        <f t="shared" si="10"/>
        <v>0</v>
      </c>
      <c r="AC19" s="81">
        <f t="shared" si="10"/>
        <v>0</v>
      </c>
      <c r="AD19" s="81">
        <f t="shared" si="10"/>
        <v>0</v>
      </c>
      <c r="AE19" s="81">
        <f t="shared" si="10"/>
        <v>0</v>
      </c>
      <c r="AF19" s="81">
        <f t="shared" si="9"/>
        <v>0</v>
      </c>
      <c r="AG19" s="81">
        <f t="shared" si="9"/>
        <v>0</v>
      </c>
      <c r="AH19" s="81">
        <f t="shared" si="9"/>
        <v>0</v>
      </c>
      <c r="AI19" s="81">
        <f t="shared" si="9"/>
        <v>0</v>
      </c>
      <c r="AJ19" s="81">
        <f t="shared" si="9"/>
        <v>0</v>
      </c>
      <c r="AK19" s="81">
        <f t="shared" si="9"/>
        <v>0</v>
      </c>
      <c r="AL19" s="81">
        <f t="shared" si="9"/>
        <v>0</v>
      </c>
      <c r="AM19" s="81">
        <f t="shared" si="9"/>
        <v>0</v>
      </c>
      <c r="AN19" s="81">
        <f t="shared" si="9"/>
        <v>0</v>
      </c>
      <c r="AO19" s="81">
        <f t="shared" si="9"/>
        <v>0</v>
      </c>
      <c r="AP19" s="81">
        <f t="shared" si="9"/>
        <v>0</v>
      </c>
      <c r="AQ19" s="81">
        <f t="shared" si="9"/>
        <v>0</v>
      </c>
      <c r="AR19" s="82">
        <f t="shared" si="9"/>
        <v>0</v>
      </c>
    </row>
    <row r="20" spans="1:44" s="65" customFormat="1" ht="24">
      <c r="A20" s="83" t="s">
        <v>122</v>
      </c>
      <c r="B20" s="62">
        <f>IF(B19&lt;&gt;0,B18/B19,0)</f>
        <v>0.09559826452435531</v>
      </c>
      <c r="C20" s="62">
        <f aca="true" t="shared" si="11" ref="C20:AR20">IF(C19&lt;&gt;0,C18/C19,0)</f>
        <v>0.09831082320738582</v>
      </c>
      <c r="D20" s="62">
        <f t="shared" si="11"/>
        <v>0.10937662817941105</v>
      </c>
      <c r="E20" s="62">
        <f t="shared" si="11"/>
        <v>0.10023927787709998</v>
      </c>
      <c r="F20" s="62">
        <f t="shared" si="11"/>
        <v>0.09066885216361564</v>
      </c>
      <c r="G20" s="62">
        <f t="shared" si="11"/>
        <v>0.08421276277222202</v>
      </c>
      <c r="H20" s="62">
        <f t="shared" si="11"/>
        <v>0.080616969107534</v>
      </c>
      <c r="I20" s="62">
        <f t="shared" si="11"/>
        <v>0.07111927285689468</v>
      </c>
      <c r="J20" s="62">
        <f t="shared" si="11"/>
        <v>0.06410476338233967</v>
      </c>
      <c r="K20" s="62">
        <f t="shared" si="11"/>
        <v>0.09642236910584712</v>
      </c>
      <c r="L20" s="62">
        <f aca="true" t="shared" si="12" ref="L20:AE20">IF(L19&lt;&gt;0,L18/L19,0)</f>
        <v>0</v>
      </c>
      <c r="M20" s="62">
        <f t="shared" si="12"/>
        <v>0</v>
      </c>
      <c r="N20" s="62">
        <f t="shared" si="12"/>
        <v>0</v>
      </c>
      <c r="O20" s="62">
        <f t="shared" si="12"/>
        <v>0</v>
      </c>
      <c r="P20" s="62">
        <f t="shared" si="12"/>
        <v>0</v>
      </c>
      <c r="Q20" s="62">
        <f t="shared" si="12"/>
        <v>0</v>
      </c>
      <c r="R20" s="62">
        <f t="shared" si="12"/>
        <v>0</v>
      </c>
      <c r="S20" s="62">
        <f t="shared" si="12"/>
        <v>0</v>
      </c>
      <c r="T20" s="62">
        <f t="shared" si="12"/>
        <v>0</v>
      </c>
      <c r="U20" s="62">
        <f t="shared" si="12"/>
        <v>0</v>
      </c>
      <c r="V20" s="62">
        <f t="shared" si="12"/>
        <v>0</v>
      </c>
      <c r="W20" s="62">
        <f t="shared" si="12"/>
        <v>0</v>
      </c>
      <c r="X20" s="62">
        <f t="shared" si="12"/>
        <v>0</v>
      </c>
      <c r="Y20" s="62">
        <f t="shared" si="12"/>
        <v>0</v>
      </c>
      <c r="Z20" s="62">
        <f t="shared" si="12"/>
        <v>0</v>
      </c>
      <c r="AA20" s="62">
        <f t="shared" si="12"/>
        <v>0</v>
      </c>
      <c r="AB20" s="62">
        <f t="shared" si="12"/>
        <v>0</v>
      </c>
      <c r="AC20" s="62">
        <f t="shared" si="12"/>
        <v>0</v>
      </c>
      <c r="AD20" s="62">
        <f t="shared" si="12"/>
        <v>0</v>
      </c>
      <c r="AE20" s="62">
        <f t="shared" si="12"/>
        <v>0</v>
      </c>
      <c r="AF20" s="62">
        <f t="shared" si="11"/>
        <v>0</v>
      </c>
      <c r="AG20" s="62">
        <f t="shared" si="11"/>
        <v>0</v>
      </c>
      <c r="AH20" s="62">
        <f t="shared" si="11"/>
        <v>0</v>
      </c>
      <c r="AI20" s="62">
        <f t="shared" si="11"/>
        <v>0</v>
      </c>
      <c r="AJ20" s="62">
        <f t="shared" si="11"/>
        <v>0</v>
      </c>
      <c r="AK20" s="62">
        <f t="shared" si="11"/>
        <v>0</v>
      </c>
      <c r="AL20" s="62">
        <f t="shared" si="11"/>
        <v>0</v>
      </c>
      <c r="AM20" s="62">
        <f t="shared" si="11"/>
        <v>0</v>
      </c>
      <c r="AN20" s="62">
        <f t="shared" si="11"/>
        <v>0</v>
      </c>
      <c r="AO20" s="62">
        <f t="shared" si="11"/>
        <v>0</v>
      </c>
      <c r="AP20" s="62">
        <f t="shared" si="11"/>
        <v>0</v>
      </c>
      <c r="AQ20" s="62">
        <f t="shared" si="11"/>
        <v>0</v>
      </c>
      <c r="AR20" s="62">
        <f t="shared" si="11"/>
        <v>0</v>
      </c>
    </row>
    <row r="21" spans="1:44" s="65" customFormat="1" ht="12">
      <c r="A21" s="84" t="s">
        <v>123</v>
      </c>
      <c r="B21" s="49" t="str">
        <f aca="true" t="shared" si="13" ref="B21:K21">IF(B20&lt;=B12,"ZGODNE","NIEZGODNE")</f>
        <v>ZGODNE</v>
      </c>
      <c r="C21" s="49" t="str">
        <f t="shared" si="13"/>
        <v>ZGODNE</v>
      </c>
      <c r="D21" s="49" t="str">
        <f t="shared" si="13"/>
        <v>ZGODNE</v>
      </c>
      <c r="E21" s="49" t="str">
        <f t="shared" si="13"/>
        <v>ZGODNE</v>
      </c>
      <c r="F21" s="49" t="str">
        <f t="shared" si="13"/>
        <v>ZGODNE</v>
      </c>
      <c r="G21" s="49" t="str">
        <f t="shared" si="13"/>
        <v>ZGODNE</v>
      </c>
      <c r="H21" s="49" t="str">
        <f t="shared" si="13"/>
        <v>ZGODNE</v>
      </c>
      <c r="I21" s="49" t="str">
        <f t="shared" si="13"/>
        <v>ZGODNE</v>
      </c>
      <c r="J21" s="49" t="str">
        <f t="shared" si="13"/>
        <v>ZGODNE</v>
      </c>
      <c r="K21" s="49" t="str">
        <f t="shared" si="13"/>
        <v>ZGODNE</v>
      </c>
      <c r="L21" s="49" t="str">
        <f aca="true" t="shared" si="14" ref="L21:AE21">IF(L20&lt;=L12,"ZGODNE","NIEZGODNE")</f>
        <v>ZGODNE</v>
      </c>
      <c r="M21" s="49" t="str">
        <f t="shared" si="14"/>
        <v>ZGODNE</v>
      </c>
      <c r="N21" s="49" t="str">
        <f t="shared" si="14"/>
        <v>ZGODNE</v>
      </c>
      <c r="O21" s="49" t="str">
        <f t="shared" si="14"/>
        <v>ZGODNE</v>
      </c>
      <c r="P21" s="49" t="str">
        <f t="shared" si="14"/>
        <v>ZGODNE</v>
      </c>
      <c r="Q21" s="49" t="str">
        <f t="shared" si="14"/>
        <v>ZGODNE</v>
      </c>
      <c r="R21" s="49" t="str">
        <f t="shared" si="14"/>
        <v>ZGODNE</v>
      </c>
      <c r="S21" s="49" t="str">
        <f t="shared" si="14"/>
        <v>ZGODNE</v>
      </c>
      <c r="T21" s="49" t="str">
        <f t="shared" si="14"/>
        <v>ZGODNE</v>
      </c>
      <c r="U21" s="49" t="str">
        <f t="shared" si="14"/>
        <v>ZGODNE</v>
      </c>
      <c r="V21" s="49" t="str">
        <f t="shared" si="14"/>
        <v>ZGODNE</v>
      </c>
      <c r="W21" s="49" t="str">
        <f t="shared" si="14"/>
        <v>ZGODNE</v>
      </c>
      <c r="X21" s="49" t="str">
        <f t="shared" si="14"/>
        <v>ZGODNE</v>
      </c>
      <c r="Y21" s="49" t="str">
        <f t="shared" si="14"/>
        <v>ZGODNE</v>
      </c>
      <c r="Z21" s="49" t="str">
        <f t="shared" si="14"/>
        <v>ZGODNE</v>
      </c>
      <c r="AA21" s="49" t="str">
        <f t="shared" si="14"/>
        <v>ZGODNE</v>
      </c>
      <c r="AB21" s="49" t="str">
        <f t="shared" si="14"/>
        <v>ZGODNE</v>
      </c>
      <c r="AC21" s="49" t="str">
        <f t="shared" si="14"/>
        <v>ZGODNE</v>
      </c>
      <c r="AD21" s="49" t="str">
        <f t="shared" si="14"/>
        <v>ZGODNE</v>
      </c>
      <c r="AE21" s="49" t="str">
        <f t="shared" si="14"/>
        <v>ZGODNE</v>
      </c>
      <c r="AF21" s="49" t="str">
        <f>IF(AF20&lt;=AF12,"ZGODNE","NIEZGODNE")</f>
        <v>ZGODNE</v>
      </c>
      <c r="AG21" s="49" t="str">
        <f>IF(AG20&lt;=AG12,"ZGODNE","NIEZGODNE")</f>
        <v>ZGODNE</v>
      </c>
      <c r="AH21" s="49" t="str">
        <f>IF(AH20&lt;=AH12,"ZGODNE","NIEZGODNE")</f>
        <v>ZGODNE</v>
      </c>
      <c r="AI21" s="49" t="str">
        <f>IF(AI20&lt;=AI12,"ZGODNE","NIEZGODNE")</f>
        <v>ZGODNE</v>
      </c>
      <c r="AJ21" s="49" t="str">
        <f>IF(AJ20&lt;=AJ12,"ZGODNE","NIEZGODNE")</f>
        <v>ZGODNE</v>
      </c>
      <c r="AK21" s="49" t="str">
        <f aca="true" t="shared" si="15" ref="AK21:AR21">IF(AK20&lt;=AK12,"ZGODNE","NIEZGODNE")</f>
        <v>ZGODNE</v>
      </c>
      <c r="AL21" s="49" t="str">
        <f t="shared" si="15"/>
        <v>ZGODNE</v>
      </c>
      <c r="AM21" s="49" t="str">
        <f t="shared" si="15"/>
        <v>ZGODNE</v>
      </c>
      <c r="AN21" s="49" t="str">
        <f t="shared" si="15"/>
        <v>ZGODNE</v>
      </c>
      <c r="AO21" s="49" t="str">
        <f t="shared" si="15"/>
        <v>ZGODNE</v>
      </c>
      <c r="AP21" s="49" t="str">
        <f t="shared" si="15"/>
        <v>ZGODNE</v>
      </c>
      <c r="AQ21" s="49" t="str">
        <f t="shared" si="15"/>
        <v>ZGODNE</v>
      </c>
      <c r="AR21" s="49" t="str">
        <f t="shared" si="15"/>
        <v>ZGODNE</v>
      </c>
    </row>
    <row r="22" spans="1:44" s="65" customFormat="1" ht="24">
      <c r="A22" s="85" t="s">
        <v>136</v>
      </c>
      <c r="B22" s="70">
        <f>+Zal_1_WPF_wg_RIO_Lodz!E33</f>
        <v>0</v>
      </c>
      <c r="C22" s="70">
        <f>+Zal_1_WPF_wg_RIO_Lodz!F33</f>
        <v>0</v>
      </c>
      <c r="D22" s="70">
        <f>+Zal_1_WPF_wg_RIO_Lodz!G33</f>
        <v>0</v>
      </c>
      <c r="E22" s="70">
        <f>+Zal_1_WPF_wg_RIO_Lodz!H33</f>
        <v>0</v>
      </c>
      <c r="F22" s="70">
        <f>+Zal_1_WPF_wg_RIO_Lodz!I33</f>
        <v>0</v>
      </c>
      <c r="G22" s="70">
        <f>+Zal_1_WPF_wg_RIO_Lodz!J33</f>
        <v>0</v>
      </c>
      <c r="H22" s="70">
        <f>+Zal_1_WPF_wg_RIO_Lodz!K33</f>
        <v>0</v>
      </c>
      <c r="I22" s="70">
        <f>+Zal_1_WPF_wg_RIO_Lodz!L33</f>
        <v>0</v>
      </c>
      <c r="J22" s="70">
        <f>+Zal_1_WPF_wg_RIO_Lodz!M33</f>
        <v>0</v>
      </c>
      <c r="K22" s="70">
        <f>+Zal_1_WPF_wg_RIO_Lodz!N33</f>
        <v>0</v>
      </c>
      <c r="L22" s="70">
        <f>+Zal_1_WPF_wg_RIO_Lodz!O33</f>
        <v>0</v>
      </c>
      <c r="M22" s="70">
        <f>+Zal_1_WPF_wg_RIO_Lodz!P33</f>
        <v>0</v>
      </c>
      <c r="N22" s="70">
        <f>+Zal_1_WPF_wg_RIO_Lodz!Q33</f>
        <v>0</v>
      </c>
      <c r="O22" s="70">
        <f>+Zal_1_WPF_wg_RIO_Lodz!R33</f>
        <v>0</v>
      </c>
      <c r="P22" s="70">
        <f>+Zal_1_WPF_wg_RIO_Lodz!S33</f>
        <v>0</v>
      </c>
      <c r="Q22" s="70">
        <f>+Zal_1_WPF_wg_RIO_Lodz!T33</f>
        <v>0</v>
      </c>
      <c r="R22" s="70">
        <f>+Zal_1_WPF_wg_RIO_Lodz!U33</f>
        <v>0</v>
      </c>
      <c r="S22" s="70">
        <f>+Zal_1_WPF_wg_RIO_Lodz!V33</f>
        <v>0</v>
      </c>
      <c r="T22" s="70">
        <f>+Zal_1_WPF_wg_RIO_Lodz!W33</f>
        <v>0</v>
      </c>
      <c r="U22" s="70">
        <f>+Zal_1_WPF_wg_RIO_Lodz!X33</f>
        <v>0</v>
      </c>
      <c r="V22" s="70">
        <f>+Zal_1_WPF_wg_RIO_Lodz!Y33</f>
        <v>0</v>
      </c>
      <c r="W22" s="70">
        <f>+Zal_1_WPF_wg_RIO_Lodz!Z33</f>
        <v>0</v>
      </c>
      <c r="X22" s="70">
        <f>+Zal_1_WPF_wg_RIO_Lodz!AA33</f>
        <v>0</v>
      </c>
      <c r="Y22" s="70">
        <f>+Zal_1_WPF_wg_RIO_Lodz!AB33</f>
        <v>0</v>
      </c>
      <c r="Z22" s="70">
        <f>+Zal_1_WPF_wg_RIO_Lodz!AC33</f>
        <v>0</v>
      </c>
      <c r="AA22" s="70">
        <f>+Zal_1_WPF_wg_RIO_Lodz!AD33</f>
        <v>0</v>
      </c>
      <c r="AB22" s="70">
        <f>+Zal_1_WPF_wg_RIO_Lodz!AE33</f>
        <v>0</v>
      </c>
      <c r="AC22" s="70">
        <f>+Zal_1_WPF_wg_RIO_Lodz!AF33</f>
        <v>0</v>
      </c>
      <c r="AD22" s="70">
        <f>+Zal_1_WPF_wg_RIO_Lodz!AG33</f>
        <v>0</v>
      </c>
      <c r="AE22" s="70">
        <f>+Zal_1_WPF_wg_RIO_Lodz!AH33</f>
        <v>0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6"/>
    </row>
    <row r="23" spans="1:44" s="65" customFormat="1" ht="12">
      <c r="A23" s="67" t="s">
        <v>124</v>
      </c>
      <c r="B23" s="63">
        <f>+B18-B22</f>
        <v>7542527</v>
      </c>
      <c r="C23" s="63">
        <f aca="true" t="shared" si="16" ref="C23:AR23">+C18-C22</f>
        <v>7957382</v>
      </c>
      <c r="D23" s="63">
        <f t="shared" si="16"/>
        <v>8885242</v>
      </c>
      <c r="E23" s="63">
        <f t="shared" si="16"/>
        <v>8624852</v>
      </c>
      <c r="F23" s="63">
        <f t="shared" si="16"/>
        <v>8298317</v>
      </c>
      <c r="G23" s="63">
        <f t="shared" si="16"/>
        <v>8041823</v>
      </c>
      <c r="H23" s="63">
        <f t="shared" si="16"/>
        <v>8107379</v>
      </c>
      <c r="I23" s="63">
        <f t="shared" si="16"/>
        <v>7581180</v>
      </c>
      <c r="J23" s="63">
        <f t="shared" si="16"/>
        <v>7247780</v>
      </c>
      <c r="K23" s="63">
        <f t="shared" si="16"/>
        <v>11263645</v>
      </c>
      <c r="L23" s="63">
        <f aca="true" t="shared" si="17" ref="L23:AE23">+L18-L22</f>
        <v>0</v>
      </c>
      <c r="M23" s="63">
        <f t="shared" si="17"/>
        <v>0</v>
      </c>
      <c r="N23" s="63">
        <f t="shared" si="17"/>
        <v>0</v>
      </c>
      <c r="O23" s="63">
        <f t="shared" si="17"/>
        <v>0</v>
      </c>
      <c r="P23" s="63">
        <f t="shared" si="17"/>
        <v>0</v>
      </c>
      <c r="Q23" s="63">
        <f t="shared" si="17"/>
        <v>0</v>
      </c>
      <c r="R23" s="63">
        <f t="shared" si="17"/>
        <v>0</v>
      </c>
      <c r="S23" s="63">
        <f t="shared" si="17"/>
        <v>0</v>
      </c>
      <c r="T23" s="63">
        <f t="shared" si="17"/>
        <v>0</v>
      </c>
      <c r="U23" s="63">
        <f t="shared" si="17"/>
        <v>0</v>
      </c>
      <c r="V23" s="63">
        <f t="shared" si="17"/>
        <v>0</v>
      </c>
      <c r="W23" s="63">
        <f t="shared" si="17"/>
        <v>0</v>
      </c>
      <c r="X23" s="63">
        <f t="shared" si="17"/>
        <v>0</v>
      </c>
      <c r="Y23" s="63">
        <f t="shared" si="17"/>
        <v>0</v>
      </c>
      <c r="Z23" s="63">
        <f t="shared" si="17"/>
        <v>0</v>
      </c>
      <c r="AA23" s="63">
        <f t="shared" si="17"/>
        <v>0</v>
      </c>
      <c r="AB23" s="63">
        <f t="shared" si="17"/>
        <v>0</v>
      </c>
      <c r="AC23" s="63">
        <f t="shared" si="17"/>
        <v>0</v>
      </c>
      <c r="AD23" s="63">
        <f t="shared" si="17"/>
        <v>0</v>
      </c>
      <c r="AE23" s="63">
        <f t="shared" si="17"/>
        <v>0</v>
      </c>
      <c r="AF23" s="63">
        <f t="shared" si="16"/>
        <v>0</v>
      </c>
      <c r="AG23" s="63">
        <f t="shared" si="16"/>
        <v>0</v>
      </c>
      <c r="AH23" s="63">
        <f t="shared" si="16"/>
        <v>0</v>
      </c>
      <c r="AI23" s="63">
        <f t="shared" si="16"/>
        <v>0</v>
      </c>
      <c r="AJ23" s="63">
        <f t="shared" si="16"/>
        <v>0</v>
      </c>
      <c r="AK23" s="63">
        <f t="shared" si="16"/>
        <v>0</v>
      </c>
      <c r="AL23" s="63">
        <f t="shared" si="16"/>
        <v>0</v>
      </c>
      <c r="AM23" s="63">
        <f t="shared" si="16"/>
        <v>0</v>
      </c>
      <c r="AN23" s="63">
        <f t="shared" si="16"/>
        <v>0</v>
      </c>
      <c r="AO23" s="63">
        <f t="shared" si="16"/>
        <v>0</v>
      </c>
      <c r="AP23" s="63">
        <f t="shared" si="16"/>
        <v>0</v>
      </c>
      <c r="AQ23" s="63">
        <f t="shared" si="16"/>
        <v>0</v>
      </c>
      <c r="AR23" s="63">
        <f t="shared" si="16"/>
        <v>0</v>
      </c>
    </row>
    <row r="24" spans="1:44" s="65" customFormat="1" ht="24">
      <c r="A24" s="67" t="s">
        <v>125</v>
      </c>
      <c r="B24" s="64">
        <f>+IF(B19&lt;&gt;0,B23/B19,0)</f>
        <v>0.09559826452435531</v>
      </c>
      <c r="C24" s="64">
        <f aca="true" t="shared" si="18" ref="C24:AR24">+IF(C19&lt;&gt;0,C23/C19,0)</f>
        <v>0.09831082320738582</v>
      </c>
      <c r="D24" s="64">
        <f t="shared" si="18"/>
        <v>0.10937662817941105</v>
      </c>
      <c r="E24" s="64">
        <f t="shared" si="18"/>
        <v>0.10023927787709998</v>
      </c>
      <c r="F24" s="64">
        <f t="shared" si="18"/>
        <v>0.09066885216361564</v>
      </c>
      <c r="G24" s="64">
        <f t="shared" si="18"/>
        <v>0.08421276277222202</v>
      </c>
      <c r="H24" s="64">
        <f t="shared" si="18"/>
        <v>0.080616969107534</v>
      </c>
      <c r="I24" s="64">
        <f t="shared" si="18"/>
        <v>0.07111927285689468</v>
      </c>
      <c r="J24" s="64">
        <f t="shared" si="18"/>
        <v>0.06410476338233967</v>
      </c>
      <c r="K24" s="64">
        <f t="shared" si="18"/>
        <v>0.09642236910584712</v>
      </c>
      <c r="L24" s="64">
        <f aca="true" t="shared" si="19" ref="L24:AE24">+IF(L19&lt;&gt;0,L23/L19,0)</f>
        <v>0</v>
      </c>
      <c r="M24" s="64">
        <f t="shared" si="19"/>
        <v>0</v>
      </c>
      <c r="N24" s="64">
        <f t="shared" si="19"/>
        <v>0</v>
      </c>
      <c r="O24" s="64">
        <f t="shared" si="19"/>
        <v>0</v>
      </c>
      <c r="P24" s="64">
        <f t="shared" si="19"/>
        <v>0</v>
      </c>
      <c r="Q24" s="64">
        <f t="shared" si="19"/>
        <v>0</v>
      </c>
      <c r="R24" s="64">
        <f t="shared" si="19"/>
        <v>0</v>
      </c>
      <c r="S24" s="64">
        <f t="shared" si="19"/>
        <v>0</v>
      </c>
      <c r="T24" s="64">
        <f t="shared" si="19"/>
        <v>0</v>
      </c>
      <c r="U24" s="64">
        <f t="shared" si="19"/>
        <v>0</v>
      </c>
      <c r="V24" s="64">
        <f t="shared" si="19"/>
        <v>0</v>
      </c>
      <c r="W24" s="64">
        <f t="shared" si="19"/>
        <v>0</v>
      </c>
      <c r="X24" s="64">
        <f t="shared" si="19"/>
        <v>0</v>
      </c>
      <c r="Y24" s="64">
        <f t="shared" si="19"/>
        <v>0</v>
      </c>
      <c r="Z24" s="64">
        <f t="shared" si="19"/>
        <v>0</v>
      </c>
      <c r="AA24" s="64">
        <f t="shared" si="19"/>
        <v>0</v>
      </c>
      <c r="AB24" s="64">
        <f t="shared" si="19"/>
        <v>0</v>
      </c>
      <c r="AC24" s="64">
        <f t="shared" si="19"/>
        <v>0</v>
      </c>
      <c r="AD24" s="64">
        <f t="shared" si="19"/>
        <v>0</v>
      </c>
      <c r="AE24" s="64">
        <f t="shared" si="19"/>
        <v>0</v>
      </c>
      <c r="AF24" s="64">
        <f t="shared" si="18"/>
        <v>0</v>
      </c>
      <c r="AG24" s="64">
        <f t="shared" si="18"/>
        <v>0</v>
      </c>
      <c r="AH24" s="64">
        <f t="shared" si="18"/>
        <v>0</v>
      </c>
      <c r="AI24" s="64">
        <f t="shared" si="18"/>
        <v>0</v>
      </c>
      <c r="AJ24" s="64">
        <f t="shared" si="18"/>
        <v>0</v>
      </c>
      <c r="AK24" s="64">
        <f t="shared" si="18"/>
        <v>0</v>
      </c>
      <c r="AL24" s="64">
        <f t="shared" si="18"/>
        <v>0</v>
      </c>
      <c r="AM24" s="64">
        <f t="shared" si="18"/>
        <v>0</v>
      </c>
      <c r="AN24" s="64">
        <f t="shared" si="18"/>
        <v>0</v>
      </c>
      <c r="AO24" s="64">
        <f t="shared" si="18"/>
        <v>0</v>
      </c>
      <c r="AP24" s="64">
        <f t="shared" si="18"/>
        <v>0</v>
      </c>
      <c r="AQ24" s="64">
        <f t="shared" si="18"/>
        <v>0</v>
      </c>
      <c r="AR24" s="64">
        <f t="shared" si="18"/>
        <v>0</v>
      </c>
    </row>
    <row r="25" spans="1:44" s="65" customFormat="1" ht="12">
      <c r="A25" s="86" t="s">
        <v>126</v>
      </c>
      <c r="B25" s="50" t="str">
        <f>IF(B24&lt;=B12,"ZGODNE","NIEZGODNE")</f>
        <v>ZGODNE</v>
      </c>
      <c r="C25" s="50" t="str">
        <f aca="true" t="shared" si="20" ref="C25:AR25">IF(C24&lt;=C12,"ZGODNE","NIEZGODNE")</f>
        <v>ZGODNE</v>
      </c>
      <c r="D25" s="50" t="str">
        <f t="shared" si="20"/>
        <v>ZGODNE</v>
      </c>
      <c r="E25" s="50" t="str">
        <f t="shared" si="20"/>
        <v>ZGODNE</v>
      </c>
      <c r="F25" s="50" t="str">
        <f t="shared" si="20"/>
        <v>ZGODNE</v>
      </c>
      <c r="G25" s="50" t="str">
        <f t="shared" si="20"/>
        <v>ZGODNE</v>
      </c>
      <c r="H25" s="50" t="str">
        <f t="shared" si="20"/>
        <v>ZGODNE</v>
      </c>
      <c r="I25" s="50" t="str">
        <f t="shared" si="20"/>
        <v>ZGODNE</v>
      </c>
      <c r="J25" s="50" t="str">
        <f t="shared" si="20"/>
        <v>ZGODNE</v>
      </c>
      <c r="K25" s="50" t="str">
        <f t="shared" si="20"/>
        <v>ZGODNE</v>
      </c>
      <c r="L25" s="50" t="str">
        <f aca="true" t="shared" si="21" ref="L25:AE25">IF(L24&lt;=L12,"ZGODNE","NIEZGODNE")</f>
        <v>ZGODNE</v>
      </c>
      <c r="M25" s="50" t="str">
        <f t="shared" si="21"/>
        <v>ZGODNE</v>
      </c>
      <c r="N25" s="50" t="str">
        <f t="shared" si="21"/>
        <v>ZGODNE</v>
      </c>
      <c r="O25" s="50" t="str">
        <f t="shared" si="21"/>
        <v>ZGODNE</v>
      </c>
      <c r="P25" s="50" t="str">
        <f t="shared" si="21"/>
        <v>ZGODNE</v>
      </c>
      <c r="Q25" s="50" t="str">
        <f t="shared" si="21"/>
        <v>ZGODNE</v>
      </c>
      <c r="R25" s="50" t="str">
        <f t="shared" si="21"/>
        <v>ZGODNE</v>
      </c>
      <c r="S25" s="50" t="str">
        <f t="shared" si="21"/>
        <v>ZGODNE</v>
      </c>
      <c r="T25" s="50" t="str">
        <f t="shared" si="21"/>
        <v>ZGODNE</v>
      </c>
      <c r="U25" s="50" t="str">
        <f t="shared" si="21"/>
        <v>ZGODNE</v>
      </c>
      <c r="V25" s="50" t="str">
        <f t="shared" si="21"/>
        <v>ZGODNE</v>
      </c>
      <c r="W25" s="50" t="str">
        <f t="shared" si="21"/>
        <v>ZGODNE</v>
      </c>
      <c r="X25" s="50" t="str">
        <f t="shared" si="21"/>
        <v>ZGODNE</v>
      </c>
      <c r="Y25" s="50" t="str">
        <f t="shared" si="21"/>
        <v>ZGODNE</v>
      </c>
      <c r="Z25" s="50" t="str">
        <f t="shared" si="21"/>
        <v>ZGODNE</v>
      </c>
      <c r="AA25" s="50" t="str">
        <f t="shared" si="21"/>
        <v>ZGODNE</v>
      </c>
      <c r="AB25" s="50" t="str">
        <f t="shared" si="21"/>
        <v>ZGODNE</v>
      </c>
      <c r="AC25" s="50" t="str">
        <f t="shared" si="21"/>
        <v>ZGODNE</v>
      </c>
      <c r="AD25" s="50" t="str">
        <f t="shared" si="21"/>
        <v>ZGODNE</v>
      </c>
      <c r="AE25" s="50" t="str">
        <f t="shared" si="21"/>
        <v>ZGODNE</v>
      </c>
      <c r="AF25" s="50" t="str">
        <f t="shared" si="20"/>
        <v>ZGODNE</v>
      </c>
      <c r="AG25" s="50" t="str">
        <f t="shared" si="20"/>
        <v>ZGODNE</v>
      </c>
      <c r="AH25" s="50" t="str">
        <f t="shared" si="20"/>
        <v>ZGODNE</v>
      </c>
      <c r="AI25" s="50" t="str">
        <f t="shared" si="20"/>
        <v>ZGODNE</v>
      </c>
      <c r="AJ25" s="50" t="str">
        <f t="shared" si="20"/>
        <v>ZGODNE</v>
      </c>
      <c r="AK25" s="50" t="str">
        <f t="shared" si="20"/>
        <v>ZGODNE</v>
      </c>
      <c r="AL25" s="50" t="str">
        <f t="shared" si="20"/>
        <v>ZGODNE</v>
      </c>
      <c r="AM25" s="50" t="str">
        <f t="shared" si="20"/>
        <v>ZGODNE</v>
      </c>
      <c r="AN25" s="50" t="str">
        <f t="shared" si="20"/>
        <v>ZGODNE</v>
      </c>
      <c r="AO25" s="50" t="str">
        <f t="shared" si="20"/>
        <v>ZGODNE</v>
      </c>
      <c r="AP25" s="50" t="str">
        <f t="shared" si="20"/>
        <v>ZGODNE</v>
      </c>
      <c r="AQ25" s="50" t="str">
        <f t="shared" si="20"/>
        <v>ZGODNE</v>
      </c>
      <c r="AR25" s="50" t="str">
        <f t="shared" si="20"/>
        <v>ZGODNE</v>
      </c>
    </row>
  </sheetData>
  <sheetProtection/>
  <conditionalFormatting sqref="B21:AR21">
    <cfRule type="expression" priority="1" dxfId="1" stopIfTrue="1">
      <formula>LEFT(B21,3)="NIE"</formula>
    </cfRule>
  </conditionalFormatting>
  <conditionalFormatting sqref="B25:AR25">
    <cfRule type="expression" priority="2" dxfId="0" stopIfTrue="1">
      <formula>LEFT(B25,3)="NIE"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perSize="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J30"/>
  <sheetViews>
    <sheetView zoomScalePageLayoutView="0" workbookViewId="0" topLeftCell="A16">
      <selection activeCell="A30" sqref="A30"/>
    </sheetView>
  </sheetViews>
  <sheetFormatPr defaultColWidth="8.796875" defaultRowHeight="14.25"/>
  <cols>
    <col min="7" max="16" width="16.69921875" style="0" bestFit="1" customWidth="1"/>
  </cols>
  <sheetData>
    <row r="1" spans="1:36" ht="15" thickBot="1">
      <c r="A1" s="6"/>
      <c r="B1" s="10" t="s">
        <v>0</v>
      </c>
      <c r="C1" s="393" t="s">
        <v>1</v>
      </c>
      <c r="D1" s="394"/>
      <c r="E1" s="395"/>
      <c r="F1" s="35">
        <v>2010</v>
      </c>
      <c r="G1" s="43">
        <v>2011</v>
      </c>
      <c r="H1" s="22">
        <v>2012</v>
      </c>
      <c r="I1" s="22">
        <v>2013</v>
      </c>
      <c r="J1" s="22">
        <v>2014</v>
      </c>
      <c r="K1" s="22">
        <v>2015</v>
      </c>
      <c r="L1" s="22">
        <v>2016</v>
      </c>
      <c r="M1" s="22">
        <v>2017</v>
      </c>
      <c r="N1" s="22">
        <v>2018</v>
      </c>
      <c r="O1" s="22">
        <v>2019</v>
      </c>
      <c r="P1" s="23">
        <v>2020</v>
      </c>
      <c r="Q1" s="42">
        <v>2021</v>
      </c>
      <c r="R1" s="22">
        <v>2022</v>
      </c>
      <c r="S1" s="22">
        <v>2023</v>
      </c>
      <c r="T1" s="22">
        <v>2024</v>
      </c>
      <c r="U1" s="22">
        <v>2025</v>
      </c>
      <c r="V1" s="22">
        <v>2026</v>
      </c>
      <c r="W1" s="22">
        <v>2027</v>
      </c>
      <c r="X1" s="22">
        <v>2028</v>
      </c>
      <c r="Y1" s="22">
        <v>2029</v>
      </c>
      <c r="Z1" s="22">
        <v>2030</v>
      </c>
      <c r="AA1" s="22">
        <v>2031</v>
      </c>
      <c r="AB1" s="22">
        <v>2032</v>
      </c>
      <c r="AC1" s="22">
        <v>2033</v>
      </c>
      <c r="AD1" s="22">
        <v>2034</v>
      </c>
      <c r="AE1" s="22">
        <v>2035</v>
      </c>
      <c r="AF1" s="22">
        <v>2036</v>
      </c>
      <c r="AG1" s="22">
        <v>2037</v>
      </c>
      <c r="AH1" s="22">
        <v>2038</v>
      </c>
      <c r="AI1" s="22">
        <v>2039</v>
      </c>
      <c r="AJ1" s="23" t="s">
        <v>91</v>
      </c>
    </row>
    <row r="2" spans="1:36" ht="14.25">
      <c r="A2" s="5">
        <v>1</v>
      </c>
      <c r="B2" s="20">
        <v>1</v>
      </c>
      <c r="C2" s="396" t="s">
        <v>68</v>
      </c>
      <c r="D2" s="397"/>
      <c r="E2" s="398"/>
      <c r="F2" s="36"/>
      <c r="G2" s="44" t="str">
        <f>+"rokprognozy="&amp;G$1&amp;" i lp="&amp;$A2</f>
        <v>rokprognozy=2011 i lp=1</v>
      </c>
      <c r="H2" s="44" t="str">
        <f aca="true" t="shared" si="0" ref="H2:AJ14">+"rokprognozy="&amp;H$1&amp;" i lp="&amp;$A2</f>
        <v>rokprognozy=2012 i lp=1</v>
      </c>
      <c r="I2" s="44" t="str">
        <f t="shared" si="0"/>
        <v>rokprognozy=2013 i lp=1</v>
      </c>
      <c r="J2" s="44" t="str">
        <f t="shared" si="0"/>
        <v>rokprognozy=2014 i lp=1</v>
      </c>
      <c r="K2" s="44" t="str">
        <f t="shared" si="0"/>
        <v>rokprognozy=2015 i lp=1</v>
      </c>
      <c r="L2" s="44" t="str">
        <f t="shared" si="0"/>
        <v>rokprognozy=2016 i lp=1</v>
      </c>
      <c r="M2" s="44" t="str">
        <f t="shared" si="0"/>
        <v>rokprognozy=2017 i lp=1</v>
      </c>
      <c r="N2" s="44" t="str">
        <f t="shared" si="0"/>
        <v>rokprognozy=2018 i lp=1</v>
      </c>
      <c r="O2" s="44" t="str">
        <f t="shared" si="0"/>
        <v>rokprognozy=2019 i lp=1</v>
      </c>
      <c r="P2" s="44" t="str">
        <f t="shared" si="0"/>
        <v>rokprognozy=2020 i lp=1</v>
      </c>
      <c r="Q2" s="44" t="str">
        <f t="shared" si="0"/>
        <v>rokprognozy=2021 i lp=1</v>
      </c>
      <c r="R2" s="44" t="str">
        <f t="shared" si="0"/>
        <v>rokprognozy=2022 i lp=1</v>
      </c>
      <c r="S2" s="44" t="str">
        <f t="shared" si="0"/>
        <v>rokprognozy=2023 i lp=1</v>
      </c>
      <c r="T2" s="44" t="str">
        <f t="shared" si="0"/>
        <v>rokprognozy=2024 i lp=1</v>
      </c>
      <c r="U2" s="44" t="str">
        <f t="shared" si="0"/>
        <v>rokprognozy=2025 i lp=1</v>
      </c>
      <c r="V2" s="44" t="str">
        <f t="shared" si="0"/>
        <v>rokprognozy=2026 i lp=1</v>
      </c>
      <c r="W2" s="44" t="str">
        <f t="shared" si="0"/>
        <v>rokprognozy=2027 i lp=1</v>
      </c>
      <c r="X2" s="44" t="str">
        <f t="shared" si="0"/>
        <v>rokprognozy=2028 i lp=1</v>
      </c>
      <c r="Y2" s="44" t="str">
        <f t="shared" si="0"/>
        <v>rokprognozy=2029 i lp=1</v>
      </c>
      <c r="Z2" s="44" t="str">
        <f t="shared" si="0"/>
        <v>rokprognozy=2030 i lp=1</v>
      </c>
      <c r="AA2" s="44" t="str">
        <f t="shared" si="0"/>
        <v>rokprognozy=2031 i lp=1</v>
      </c>
      <c r="AB2" s="44" t="str">
        <f t="shared" si="0"/>
        <v>rokprognozy=2032 i lp=1</v>
      </c>
      <c r="AC2" s="44" t="str">
        <f t="shared" si="0"/>
        <v>rokprognozy=2033 i lp=1</v>
      </c>
      <c r="AD2" s="44" t="str">
        <f t="shared" si="0"/>
        <v>rokprognozy=2034 i lp=1</v>
      </c>
      <c r="AE2" s="44" t="str">
        <f t="shared" si="0"/>
        <v>rokprognozy=2035 i lp=1</v>
      </c>
      <c r="AF2" s="44" t="str">
        <f t="shared" si="0"/>
        <v>rokprognozy=2036 i lp=1</v>
      </c>
      <c r="AG2" s="44" t="str">
        <f t="shared" si="0"/>
        <v>rokprognozy=2037 i lp=1</v>
      </c>
      <c r="AH2" s="44" t="str">
        <f t="shared" si="0"/>
        <v>rokprognozy=2038 i lp=1</v>
      </c>
      <c r="AI2" s="44" t="str">
        <f t="shared" si="0"/>
        <v>rokprognozy=2039 i lp=1</v>
      </c>
      <c r="AJ2" s="44" t="str">
        <f t="shared" si="0"/>
        <v>rokprognozy=2040 i lp=1</v>
      </c>
    </row>
    <row r="3" spans="1:36" ht="14.25">
      <c r="A3" s="5">
        <v>2</v>
      </c>
      <c r="B3" s="11" t="s">
        <v>2</v>
      </c>
      <c r="C3" s="2"/>
      <c r="D3" s="399" t="s">
        <v>3</v>
      </c>
      <c r="E3" s="400"/>
      <c r="F3" s="37"/>
      <c r="G3" s="44" t="str">
        <f aca="true" t="shared" si="1" ref="G3:P29">+"rokprognozy="&amp;G$1&amp;" i lp="&amp;$A3</f>
        <v>rokprognozy=2011 i lp=2</v>
      </c>
      <c r="H3" s="44" t="str">
        <f t="shared" si="1"/>
        <v>rokprognozy=2012 i lp=2</v>
      </c>
      <c r="I3" s="44" t="str">
        <f t="shared" si="1"/>
        <v>rokprognozy=2013 i lp=2</v>
      </c>
      <c r="J3" s="44" t="str">
        <f t="shared" si="1"/>
        <v>rokprognozy=2014 i lp=2</v>
      </c>
      <c r="K3" s="44" t="str">
        <f t="shared" si="1"/>
        <v>rokprognozy=2015 i lp=2</v>
      </c>
      <c r="L3" s="44" t="str">
        <f t="shared" si="1"/>
        <v>rokprognozy=2016 i lp=2</v>
      </c>
      <c r="M3" s="44" t="str">
        <f t="shared" si="1"/>
        <v>rokprognozy=2017 i lp=2</v>
      </c>
      <c r="N3" s="44" t="str">
        <f t="shared" si="1"/>
        <v>rokprognozy=2018 i lp=2</v>
      </c>
      <c r="O3" s="44" t="str">
        <f t="shared" si="1"/>
        <v>rokprognozy=2019 i lp=2</v>
      </c>
      <c r="P3" s="44" t="str">
        <f t="shared" si="1"/>
        <v>rokprognozy=2020 i lp=2</v>
      </c>
      <c r="Q3" s="44" t="str">
        <f t="shared" si="0"/>
        <v>rokprognozy=2021 i lp=2</v>
      </c>
      <c r="R3" s="44" t="str">
        <f t="shared" si="0"/>
        <v>rokprognozy=2022 i lp=2</v>
      </c>
      <c r="S3" s="44" t="str">
        <f t="shared" si="0"/>
        <v>rokprognozy=2023 i lp=2</v>
      </c>
      <c r="T3" s="44" t="str">
        <f t="shared" si="0"/>
        <v>rokprognozy=2024 i lp=2</v>
      </c>
      <c r="U3" s="44" t="str">
        <f t="shared" si="0"/>
        <v>rokprognozy=2025 i lp=2</v>
      </c>
      <c r="V3" s="44" t="str">
        <f t="shared" si="0"/>
        <v>rokprognozy=2026 i lp=2</v>
      </c>
      <c r="W3" s="44" t="str">
        <f t="shared" si="0"/>
        <v>rokprognozy=2027 i lp=2</v>
      </c>
      <c r="X3" s="44" t="str">
        <f t="shared" si="0"/>
        <v>rokprognozy=2028 i lp=2</v>
      </c>
      <c r="Y3" s="44" t="str">
        <f t="shared" si="0"/>
        <v>rokprognozy=2029 i lp=2</v>
      </c>
      <c r="Z3" s="44" t="str">
        <f t="shared" si="0"/>
        <v>rokprognozy=2030 i lp=2</v>
      </c>
      <c r="AA3" s="44" t="str">
        <f t="shared" si="0"/>
        <v>rokprognozy=2031 i lp=2</v>
      </c>
      <c r="AB3" s="44" t="str">
        <f t="shared" si="0"/>
        <v>rokprognozy=2032 i lp=2</v>
      </c>
      <c r="AC3" s="44" t="str">
        <f t="shared" si="0"/>
        <v>rokprognozy=2033 i lp=2</v>
      </c>
      <c r="AD3" s="44" t="str">
        <f t="shared" si="0"/>
        <v>rokprognozy=2034 i lp=2</v>
      </c>
      <c r="AE3" s="44" t="str">
        <f t="shared" si="0"/>
        <v>rokprognozy=2035 i lp=2</v>
      </c>
      <c r="AF3" s="44" t="str">
        <f t="shared" si="0"/>
        <v>rokprognozy=2036 i lp=2</v>
      </c>
      <c r="AG3" s="44" t="str">
        <f t="shared" si="0"/>
        <v>rokprognozy=2037 i lp=2</v>
      </c>
      <c r="AH3" s="44" t="str">
        <f t="shared" si="0"/>
        <v>rokprognozy=2038 i lp=2</v>
      </c>
      <c r="AI3" s="44" t="str">
        <f t="shared" si="0"/>
        <v>rokprognozy=2039 i lp=2</v>
      </c>
      <c r="AJ3" s="44" t="str">
        <f t="shared" si="0"/>
        <v>rokprognozy=2040 i lp=2</v>
      </c>
    </row>
    <row r="4" spans="1:36" ht="14.25">
      <c r="A4" s="5">
        <v>3</v>
      </c>
      <c r="B4" s="11" t="s">
        <v>4</v>
      </c>
      <c r="C4" s="2"/>
      <c r="D4" s="399" t="s">
        <v>5</v>
      </c>
      <c r="E4" s="400"/>
      <c r="F4" s="37"/>
      <c r="G4" s="44" t="str">
        <f t="shared" si="1"/>
        <v>rokprognozy=2011 i lp=3</v>
      </c>
      <c r="H4" s="44" t="str">
        <f t="shared" si="1"/>
        <v>rokprognozy=2012 i lp=3</v>
      </c>
      <c r="I4" s="44" t="str">
        <f t="shared" si="1"/>
        <v>rokprognozy=2013 i lp=3</v>
      </c>
      <c r="J4" s="44" t="str">
        <f t="shared" si="1"/>
        <v>rokprognozy=2014 i lp=3</v>
      </c>
      <c r="K4" s="44" t="str">
        <f t="shared" si="1"/>
        <v>rokprognozy=2015 i lp=3</v>
      </c>
      <c r="L4" s="44" t="str">
        <f t="shared" si="1"/>
        <v>rokprognozy=2016 i lp=3</v>
      </c>
      <c r="M4" s="44" t="str">
        <f t="shared" si="1"/>
        <v>rokprognozy=2017 i lp=3</v>
      </c>
      <c r="N4" s="44" t="str">
        <f t="shared" si="1"/>
        <v>rokprognozy=2018 i lp=3</v>
      </c>
      <c r="O4" s="44" t="str">
        <f t="shared" si="1"/>
        <v>rokprognozy=2019 i lp=3</v>
      </c>
      <c r="P4" s="44" t="str">
        <f t="shared" si="1"/>
        <v>rokprognozy=2020 i lp=3</v>
      </c>
      <c r="Q4" s="44" t="str">
        <f t="shared" si="0"/>
        <v>rokprognozy=2021 i lp=3</v>
      </c>
      <c r="R4" s="44" t="str">
        <f t="shared" si="0"/>
        <v>rokprognozy=2022 i lp=3</v>
      </c>
      <c r="S4" s="44" t="str">
        <f t="shared" si="0"/>
        <v>rokprognozy=2023 i lp=3</v>
      </c>
      <c r="T4" s="44" t="str">
        <f t="shared" si="0"/>
        <v>rokprognozy=2024 i lp=3</v>
      </c>
      <c r="U4" s="44" t="str">
        <f t="shared" si="0"/>
        <v>rokprognozy=2025 i lp=3</v>
      </c>
      <c r="V4" s="44" t="str">
        <f t="shared" si="0"/>
        <v>rokprognozy=2026 i lp=3</v>
      </c>
      <c r="W4" s="44" t="str">
        <f t="shared" si="0"/>
        <v>rokprognozy=2027 i lp=3</v>
      </c>
      <c r="X4" s="44" t="str">
        <f t="shared" si="0"/>
        <v>rokprognozy=2028 i lp=3</v>
      </c>
      <c r="Y4" s="44" t="str">
        <f t="shared" si="0"/>
        <v>rokprognozy=2029 i lp=3</v>
      </c>
      <c r="Z4" s="44" t="str">
        <f t="shared" si="0"/>
        <v>rokprognozy=2030 i lp=3</v>
      </c>
      <c r="AA4" s="44" t="str">
        <f t="shared" si="0"/>
        <v>rokprognozy=2031 i lp=3</v>
      </c>
      <c r="AB4" s="44" t="str">
        <f t="shared" si="0"/>
        <v>rokprognozy=2032 i lp=3</v>
      </c>
      <c r="AC4" s="44" t="str">
        <f t="shared" si="0"/>
        <v>rokprognozy=2033 i lp=3</v>
      </c>
      <c r="AD4" s="44" t="str">
        <f t="shared" si="0"/>
        <v>rokprognozy=2034 i lp=3</v>
      </c>
      <c r="AE4" s="44" t="str">
        <f t="shared" si="0"/>
        <v>rokprognozy=2035 i lp=3</v>
      </c>
      <c r="AF4" s="44" t="str">
        <f t="shared" si="0"/>
        <v>rokprognozy=2036 i lp=3</v>
      </c>
      <c r="AG4" s="44" t="str">
        <f t="shared" si="0"/>
        <v>rokprognozy=2037 i lp=3</v>
      </c>
      <c r="AH4" s="44" t="str">
        <f t="shared" si="0"/>
        <v>rokprognozy=2038 i lp=3</v>
      </c>
      <c r="AI4" s="44" t="str">
        <f t="shared" si="0"/>
        <v>rokprognozy=2039 i lp=3</v>
      </c>
      <c r="AJ4" s="44" t="str">
        <f t="shared" si="0"/>
        <v>rokprognozy=2040 i lp=3</v>
      </c>
    </row>
    <row r="5" spans="1:36" ht="36">
      <c r="A5" s="5">
        <v>4</v>
      </c>
      <c r="B5" s="11" t="s">
        <v>11</v>
      </c>
      <c r="C5" s="3"/>
      <c r="D5" s="24"/>
      <c r="E5" s="25" t="s">
        <v>6</v>
      </c>
      <c r="F5" s="37"/>
      <c r="G5" s="44" t="str">
        <f t="shared" si="1"/>
        <v>rokprognozy=2011 i lp=4</v>
      </c>
      <c r="H5" s="44" t="str">
        <f t="shared" si="1"/>
        <v>rokprognozy=2012 i lp=4</v>
      </c>
      <c r="I5" s="44" t="str">
        <f t="shared" si="1"/>
        <v>rokprognozy=2013 i lp=4</v>
      </c>
      <c r="J5" s="44" t="str">
        <f t="shared" si="1"/>
        <v>rokprognozy=2014 i lp=4</v>
      </c>
      <c r="K5" s="44" t="str">
        <f t="shared" si="1"/>
        <v>rokprognozy=2015 i lp=4</v>
      </c>
      <c r="L5" s="44" t="str">
        <f t="shared" si="1"/>
        <v>rokprognozy=2016 i lp=4</v>
      </c>
      <c r="M5" s="44" t="str">
        <f t="shared" si="1"/>
        <v>rokprognozy=2017 i lp=4</v>
      </c>
      <c r="N5" s="44" t="str">
        <f t="shared" si="1"/>
        <v>rokprognozy=2018 i lp=4</v>
      </c>
      <c r="O5" s="44" t="str">
        <f t="shared" si="1"/>
        <v>rokprognozy=2019 i lp=4</v>
      </c>
      <c r="P5" s="44" t="str">
        <f t="shared" si="1"/>
        <v>rokprognozy=2020 i lp=4</v>
      </c>
      <c r="Q5" s="44" t="str">
        <f t="shared" si="0"/>
        <v>rokprognozy=2021 i lp=4</v>
      </c>
      <c r="R5" s="44" t="str">
        <f t="shared" si="0"/>
        <v>rokprognozy=2022 i lp=4</v>
      </c>
      <c r="S5" s="44" t="str">
        <f t="shared" si="0"/>
        <v>rokprognozy=2023 i lp=4</v>
      </c>
      <c r="T5" s="44" t="str">
        <f t="shared" si="0"/>
        <v>rokprognozy=2024 i lp=4</v>
      </c>
      <c r="U5" s="44" t="str">
        <f t="shared" si="0"/>
        <v>rokprognozy=2025 i lp=4</v>
      </c>
      <c r="V5" s="44" t="str">
        <f t="shared" si="0"/>
        <v>rokprognozy=2026 i lp=4</v>
      </c>
      <c r="W5" s="44" t="str">
        <f t="shared" si="0"/>
        <v>rokprognozy=2027 i lp=4</v>
      </c>
      <c r="X5" s="44" t="str">
        <f t="shared" si="0"/>
        <v>rokprognozy=2028 i lp=4</v>
      </c>
      <c r="Y5" s="44" t="str">
        <f t="shared" si="0"/>
        <v>rokprognozy=2029 i lp=4</v>
      </c>
      <c r="Z5" s="44" t="str">
        <f t="shared" si="0"/>
        <v>rokprognozy=2030 i lp=4</v>
      </c>
      <c r="AA5" s="44" t="str">
        <f t="shared" si="0"/>
        <v>rokprognozy=2031 i lp=4</v>
      </c>
      <c r="AB5" s="44" t="str">
        <f t="shared" si="0"/>
        <v>rokprognozy=2032 i lp=4</v>
      </c>
      <c r="AC5" s="44" t="str">
        <f t="shared" si="0"/>
        <v>rokprognozy=2033 i lp=4</v>
      </c>
      <c r="AD5" s="44" t="str">
        <f t="shared" si="0"/>
        <v>rokprognozy=2034 i lp=4</v>
      </c>
      <c r="AE5" s="44" t="str">
        <f t="shared" si="0"/>
        <v>rokprognozy=2035 i lp=4</v>
      </c>
      <c r="AF5" s="44" t="str">
        <f t="shared" si="0"/>
        <v>rokprognozy=2036 i lp=4</v>
      </c>
      <c r="AG5" s="44" t="str">
        <f t="shared" si="0"/>
        <v>rokprognozy=2037 i lp=4</v>
      </c>
      <c r="AH5" s="44" t="str">
        <f t="shared" si="0"/>
        <v>rokprognozy=2038 i lp=4</v>
      </c>
      <c r="AI5" s="44" t="str">
        <f t="shared" si="0"/>
        <v>rokprognozy=2039 i lp=4</v>
      </c>
      <c r="AJ5" s="44" t="str">
        <f t="shared" si="0"/>
        <v>rokprognozy=2040 i lp=4</v>
      </c>
    </row>
    <row r="6" spans="1:36" ht="14.25">
      <c r="A6" s="5">
        <v>5</v>
      </c>
      <c r="B6" s="12" t="s">
        <v>7</v>
      </c>
      <c r="C6" s="369" t="s">
        <v>8</v>
      </c>
      <c r="D6" s="370"/>
      <c r="E6" s="371"/>
      <c r="F6" s="38"/>
      <c r="G6" s="44" t="str">
        <f t="shared" si="1"/>
        <v>rokprognozy=2011 i lp=5</v>
      </c>
      <c r="H6" s="44" t="str">
        <f t="shared" si="1"/>
        <v>rokprognozy=2012 i lp=5</v>
      </c>
      <c r="I6" s="44" t="str">
        <f t="shared" si="1"/>
        <v>rokprognozy=2013 i lp=5</v>
      </c>
      <c r="J6" s="44" t="str">
        <f t="shared" si="1"/>
        <v>rokprognozy=2014 i lp=5</v>
      </c>
      <c r="K6" s="44" t="str">
        <f t="shared" si="1"/>
        <v>rokprognozy=2015 i lp=5</v>
      </c>
      <c r="L6" s="44" t="str">
        <f t="shared" si="1"/>
        <v>rokprognozy=2016 i lp=5</v>
      </c>
      <c r="M6" s="44" t="str">
        <f t="shared" si="1"/>
        <v>rokprognozy=2017 i lp=5</v>
      </c>
      <c r="N6" s="44" t="str">
        <f t="shared" si="1"/>
        <v>rokprognozy=2018 i lp=5</v>
      </c>
      <c r="O6" s="44" t="str">
        <f t="shared" si="1"/>
        <v>rokprognozy=2019 i lp=5</v>
      </c>
      <c r="P6" s="44" t="str">
        <f t="shared" si="1"/>
        <v>rokprognozy=2020 i lp=5</v>
      </c>
      <c r="Q6" s="44" t="str">
        <f t="shared" si="0"/>
        <v>rokprognozy=2021 i lp=5</v>
      </c>
      <c r="R6" s="44" t="str">
        <f t="shared" si="0"/>
        <v>rokprognozy=2022 i lp=5</v>
      </c>
      <c r="S6" s="44" t="str">
        <f t="shared" si="0"/>
        <v>rokprognozy=2023 i lp=5</v>
      </c>
      <c r="T6" s="44" t="str">
        <f t="shared" si="0"/>
        <v>rokprognozy=2024 i lp=5</v>
      </c>
      <c r="U6" s="44" t="str">
        <f t="shared" si="0"/>
        <v>rokprognozy=2025 i lp=5</v>
      </c>
      <c r="V6" s="44" t="str">
        <f t="shared" si="0"/>
        <v>rokprognozy=2026 i lp=5</v>
      </c>
      <c r="W6" s="44" t="str">
        <f t="shared" si="0"/>
        <v>rokprognozy=2027 i lp=5</v>
      </c>
      <c r="X6" s="44" t="str">
        <f t="shared" si="0"/>
        <v>rokprognozy=2028 i lp=5</v>
      </c>
      <c r="Y6" s="44" t="str">
        <f t="shared" si="0"/>
        <v>rokprognozy=2029 i lp=5</v>
      </c>
      <c r="Z6" s="44" t="str">
        <f t="shared" si="0"/>
        <v>rokprognozy=2030 i lp=5</v>
      </c>
      <c r="AA6" s="44" t="str">
        <f t="shared" si="0"/>
        <v>rokprognozy=2031 i lp=5</v>
      </c>
      <c r="AB6" s="44" t="str">
        <f t="shared" si="0"/>
        <v>rokprognozy=2032 i lp=5</v>
      </c>
      <c r="AC6" s="44" t="str">
        <f t="shared" si="0"/>
        <v>rokprognozy=2033 i lp=5</v>
      </c>
      <c r="AD6" s="44" t="str">
        <f t="shared" si="0"/>
        <v>rokprognozy=2034 i lp=5</v>
      </c>
      <c r="AE6" s="44" t="str">
        <f t="shared" si="0"/>
        <v>rokprognozy=2035 i lp=5</v>
      </c>
      <c r="AF6" s="44" t="str">
        <f t="shared" si="0"/>
        <v>rokprognozy=2036 i lp=5</v>
      </c>
      <c r="AG6" s="44" t="str">
        <f t="shared" si="0"/>
        <v>rokprognozy=2037 i lp=5</v>
      </c>
      <c r="AH6" s="44" t="str">
        <f t="shared" si="0"/>
        <v>rokprognozy=2038 i lp=5</v>
      </c>
      <c r="AI6" s="44" t="str">
        <f t="shared" si="0"/>
        <v>rokprognozy=2039 i lp=5</v>
      </c>
      <c r="AJ6" s="44" t="str">
        <f t="shared" si="0"/>
        <v>rokprognozy=2040 i lp=5</v>
      </c>
    </row>
    <row r="7" spans="1:36" ht="14.25">
      <c r="A7" s="5">
        <v>6</v>
      </c>
      <c r="B7" s="11" t="s">
        <v>2</v>
      </c>
      <c r="C7" s="2"/>
      <c r="D7" s="399" t="s">
        <v>9</v>
      </c>
      <c r="E7" s="400"/>
      <c r="F7" s="37"/>
      <c r="G7" s="44" t="str">
        <f t="shared" si="1"/>
        <v>rokprognozy=2011 i lp=6</v>
      </c>
      <c r="H7" s="44" t="str">
        <f t="shared" si="1"/>
        <v>rokprognozy=2012 i lp=6</v>
      </c>
      <c r="I7" s="44" t="str">
        <f t="shared" si="1"/>
        <v>rokprognozy=2013 i lp=6</v>
      </c>
      <c r="J7" s="44" t="str">
        <f t="shared" si="1"/>
        <v>rokprognozy=2014 i lp=6</v>
      </c>
      <c r="K7" s="44" t="str">
        <f t="shared" si="1"/>
        <v>rokprognozy=2015 i lp=6</v>
      </c>
      <c r="L7" s="44" t="str">
        <f t="shared" si="1"/>
        <v>rokprognozy=2016 i lp=6</v>
      </c>
      <c r="M7" s="44" t="str">
        <f t="shared" si="1"/>
        <v>rokprognozy=2017 i lp=6</v>
      </c>
      <c r="N7" s="44" t="str">
        <f t="shared" si="1"/>
        <v>rokprognozy=2018 i lp=6</v>
      </c>
      <c r="O7" s="44" t="str">
        <f t="shared" si="1"/>
        <v>rokprognozy=2019 i lp=6</v>
      </c>
      <c r="P7" s="44" t="str">
        <f t="shared" si="1"/>
        <v>rokprognozy=2020 i lp=6</v>
      </c>
      <c r="Q7" s="44" t="str">
        <f t="shared" si="0"/>
        <v>rokprognozy=2021 i lp=6</v>
      </c>
      <c r="R7" s="44" t="str">
        <f t="shared" si="0"/>
        <v>rokprognozy=2022 i lp=6</v>
      </c>
      <c r="S7" s="44" t="str">
        <f t="shared" si="0"/>
        <v>rokprognozy=2023 i lp=6</v>
      </c>
      <c r="T7" s="44" t="str">
        <f t="shared" si="0"/>
        <v>rokprognozy=2024 i lp=6</v>
      </c>
      <c r="U7" s="44" t="str">
        <f t="shared" si="0"/>
        <v>rokprognozy=2025 i lp=6</v>
      </c>
      <c r="V7" s="44" t="str">
        <f t="shared" si="0"/>
        <v>rokprognozy=2026 i lp=6</v>
      </c>
      <c r="W7" s="44" t="str">
        <f t="shared" si="0"/>
        <v>rokprognozy=2027 i lp=6</v>
      </c>
      <c r="X7" s="44" t="str">
        <f t="shared" si="0"/>
        <v>rokprognozy=2028 i lp=6</v>
      </c>
      <c r="Y7" s="44" t="str">
        <f t="shared" si="0"/>
        <v>rokprognozy=2029 i lp=6</v>
      </c>
      <c r="Z7" s="44" t="str">
        <f t="shared" si="0"/>
        <v>rokprognozy=2030 i lp=6</v>
      </c>
      <c r="AA7" s="44" t="str">
        <f t="shared" si="0"/>
        <v>rokprognozy=2031 i lp=6</v>
      </c>
      <c r="AB7" s="44" t="str">
        <f t="shared" si="0"/>
        <v>rokprognozy=2032 i lp=6</v>
      </c>
      <c r="AC7" s="44" t="str">
        <f t="shared" si="0"/>
        <v>rokprognozy=2033 i lp=6</v>
      </c>
      <c r="AD7" s="44" t="str">
        <f t="shared" si="0"/>
        <v>rokprognozy=2034 i lp=6</v>
      </c>
      <c r="AE7" s="44" t="str">
        <f t="shared" si="0"/>
        <v>rokprognozy=2035 i lp=6</v>
      </c>
      <c r="AF7" s="44" t="str">
        <f t="shared" si="0"/>
        <v>rokprognozy=2036 i lp=6</v>
      </c>
      <c r="AG7" s="44" t="str">
        <f t="shared" si="0"/>
        <v>rokprognozy=2037 i lp=6</v>
      </c>
      <c r="AH7" s="44" t="str">
        <f t="shared" si="0"/>
        <v>rokprognozy=2038 i lp=6</v>
      </c>
      <c r="AI7" s="44" t="str">
        <f t="shared" si="0"/>
        <v>rokprognozy=2039 i lp=6</v>
      </c>
      <c r="AJ7" s="44" t="str">
        <f t="shared" si="0"/>
        <v>rokprognozy=2040 i lp=6</v>
      </c>
    </row>
    <row r="8" spans="1:36" ht="14.25">
      <c r="A8" s="5">
        <v>7</v>
      </c>
      <c r="B8" s="11" t="s">
        <v>4</v>
      </c>
      <c r="C8" s="2"/>
      <c r="D8" s="399" t="s">
        <v>10</v>
      </c>
      <c r="E8" s="400"/>
      <c r="F8" s="37"/>
      <c r="G8" s="44" t="str">
        <f t="shared" si="1"/>
        <v>rokprognozy=2011 i lp=7</v>
      </c>
      <c r="H8" s="44" t="str">
        <f t="shared" si="1"/>
        <v>rokprognozy=2012 i lp=7</v>
      </c>
      <c r="I8" s="44" t="str">
        <f t="shared" si="1"/>
        <v>rokprognozy=2013 i lp=7</v>
      </c>
      <c r="J8" s="44" t="str">
        <f t="shared" si="1"/>
        <v>rokprognozy=2014 i lp=7</v>
      </c>
      <c r="K8" s="44" t="str">
        <f t="shared" si="1"/>
        <v>rokprognozy=2015 i lp=7</v>
      </c>
      <c r="L8" s="44" t="str">
        <f t="shared" si="1"/>
        <v>rokprognozy=2016 i lp=7</v>
      </c>
      <c r="M8" s="44" t="str">
        <f t="shared" si="1"/>
        <v>rokprognozy=2017 i lp=7</v>
      </c>
      <c r="N8" s="44" t="str">
        <f t="shared" si="1"/>
        <v>rokprognozy=2018 i lp=7</v>
      </c>
      <c r="O8" s="44" t="str">
        <f t="shared" si="1"/>
        <v>rokprognozy=2019 i lp=7</v>
      </c>
      <c r="P8" s="44" t="str">
        <f t="shared" si="1"/>
        <v>rokprognozy=2020 i lp=7</v>
      </c>
      <c r="Q8" s="44" t="str">
        <f t="shared" si="0"/>
        <v>rokprognozy=2021 i lp=7</v>
      </c>
      <c r="R8" s="44" t="str">
        <f t="shared" si="0"/>
        <v>rokprognozy=2022 i lp=7</v>
      </c>
      <c r="S8" s="44" t="str">
        <f t="shared" si="0"/>
        <v>rokprognozy=2023 i lp=7</v>
      </c>
      <c r="T8" s="44" t="str">
        <f t="shared" si="0"/>
        <v>rokprognozy=2024 i lp=7</v>
      </c>
      <c r="U8" s="44" t="str">
        <f t="shared" si="0"/>
        <v>rokprognozy=2025 i lp=7</v>
      </c>
      <c r="V8" s="44" t="str">
        <f t="shared" si="0"/>
        <v>rokprognozy=2026 i lp=7</v>
      </c>
      <c r="W8" s="44" t="str">
        <f t="shared" si="0"/>
        <v>rokprognozy=2027 i lp=7</v>
      </c>
      <c r="X8" s="44" t="str">
        <f t="shared" si="0"/>
        <v>rokprognozy=2028 i lp=7</v>
      </c>
      <c r="Y8" s="44" t="str">
        <f t="shared" si="0"/>
        <v>rokprognozy=2029 i lp=7</v>
      </c>
      <c r="Z8" s="44" t="str">
        <f t="shared" si="0"/>
        <v>rokprognozy=2030 i lp=7</v>
      </c>
      <c r="AA8" s="44" t="str">
        <f t="shared" si="0"/>
        <v>rokprognozy=2031 i lp=7</v>
      </c>
      <c r="AB8" s="44" t="str">
        <f t="shared" si="0"/>
        <v>rokprognozy=2032 i lp=7</v>
      </c>
      <c r="AC8" s="44" t="str">
        <f t="shared" si="0"/>
        <v>rokprognozy=2033 i lp=7</v>
      </c>
      <c r="AD8" s="44" t="str">
        <f t="shared" si="0"/>
        <v>rokprognozy=2034 i lp=7</v>
      </c>
      <c r="AE8" s="44" t="str">
        <f t="shared" si="0"/>
        <v>rokprognozy=2035 i lp=7</v>
      </c>
      <c r="AF8" s="44" t="str">
        <f t="shared" si="0"/>
        <v>rokprognozy=2036 i lp=7</v>
      </c>
      <c r="AG8" s="44" t="str">
        <f t="shared" si="0"/>
        <v>rokprognozy=2037 i lp=7</v>
      </c>
      <c r="AH8" s="44" t="str">
        <f t="shared" si="0"/>
        <v>rokprognozy=2038 i lp=7</v>
      </c>
      <c r="AI8" s="44" t="str">
        <f t="shared" si="0"/>
        <v>rokprognozy=2039 i lp=7</v>
      </c>
      <c r="AJ8" s="44" t="str">
        <f t="shared" si="0"/>
        <v>rokprognozy=2040 i lp=7</v>
      </c>
    </row>
    <row r="9" spans="1:36" ht="14.25">
      <c r="A9" s="5">
        <v>8</v>
      </c>
      <c r="B9" s="11" t="s">
        <v>11</v>
      </c>
      <c r="C9" s="2"/>
      <c r="D9" s="380" t="s">
        <v>12</v>
      </c>
      <c r="E9" s="381"/>
      <c r="F9" s="37"/>
      <c r="G9" s="44" t="str">
        <f t="shared" si="1"/>
        <v>rokprognozy=2011 i lp=8</v>
      </c>
      <c r="H9" s="44" t="str">
        <f t="shared" si="1"/>
        <v>rokprognozy=2012 i lp=8</v>
      </c>
      <c r="I9" s="44" t="str">
        <f t="shared" si="1"/>
        <v>rokprognozy=2013 i lp=8</v>
      </c>
      <c r="J9" s="44" t="str">
        <f t="shared" si="1"/>
        <v>rokprognozy=2014 i lp=8</v>
      </c>
      <c r="K9" s="44" t="str">
        <f t="shared" si="1"/>
        <v>rokprognozy=2015 i lp=8</v>
      </c>
      <c r="L9" s="44" t="str">
        <f t="shared" si="1"/>
        <v>rokprognozy=2016 i lp=8</v>
      </c>
      <c r="M9" s="44" t="str">
        <f t="shared" si="1"/>
        <v>rokprognozy=2017 i lp=8</v>
      </c>
      <c r="N9" s="44" t="str">
        <f t="shared" si="1"/>
        <v>rokprognozy=2018 i lp=8</v>
      </c>
      <c r="O9" s="44" t="str">
        <f t="shared" si="1"/>
        <v>rokprognozy=2019 i lp=8</v>
      </c>
      <c r="P9" s="44" t="str">
        <f t="shared" si="1"/>
        <v>rokprognozy=2020 i lp=8</v>
      </c>
      <c r="Q9" s="44" t="str">
        <f t="shared" si="0"/>
        <v>rokprognozy=2021 i lp=8</v>
      </c>
      <c r="R9" s="44" t="str">
        <f t="shared" si="0"/>
        <v>rokprognozy=2022 i lp=8</v>
      </c>
      <c r="S9" s="44" t="str">
        <f t="shared" si="0"/>
        <v>rokprognozy=2023 i lp=8</v>
      </c>
      <c r="T9" s="44" t="str">
        <f t="shared" si="0"/>
        <v>rokprognozy=2024 i lp=8</v>
      </c>
      <c r="U9" s="44" t="str">
        <f t="shared" si="0"/>
        <v>rokprognozy=2025 i lp=8</v>
      </c>
      <c r="V9" s="44" t="str">
        <f t="shared" si="0"/>
        <v>rokprognozy=2026 i lp=8</v>
      </c>
      <c r="W9" s="44" t="str">
        <f t="shared" si="0"/>
        <v>rokprognozy=2027 i lp=8</v>
      </c>
      <c r="X9" s="44" t="str">
        <f t="shared" si="0"/>
        <v>rokprognozy=2028 i lp=8</v>
      </c>
      <c r="Y9" s="44" t="str">
        <f t="shared" si="0"/>
        <v>rokprognozy=2029 i lp=8</v>
      </c>
      <c r="Z9" s="44" t="str">
        <f t="shared" si="0"/>
        <v>rokprognozy=2030 i lp=8</v>
      </c>
      <c r="AA9" s="44" t="str">
        <f t="shared" si="0"/>
        <v>rokprognozy=2031 i lp=8</v>
      </c>
      <c r="AB9" s="44" t="str">
        <f t="shared" si="0"/>
        <v>rokprognozy=2032 i lp=8</v>
      </c>
      <c r="AC9" s="44" t="str">
        <f t="shared" si="0"/>
        <v>rokprognozy=2033 i lp=8</v>
      </c>
      <c r="AD9" s="44" t="str">
        <f t="shared" si="0"/>
        <v>rokprognozy=2034 i lp=8</v>
      </c>
      <c r="AE9" s="44" t="str">
        <f t="shared" si="0"/>
        <v>rokprognozy=2035 i lp=8</v>
      </c>
      <c r="AF9" s="44" t="str">
        <f t="shared" si="0"/>
        <v>rokprognozy=2036 i lp=8</v>
      </c>
      <c r="AG9" s="44" t="str">
        <f t="shared" si="0"/>
        <v>rokprognozy=2037 i lp=8</v>
      </c>
      <c r="AH9" s="44" t="str">
        <f t="shared" si="0"/>
        <v>rokprognozy=2038 i lp=8</v>
      </c>
      <c r="AI9" s="44" t="str">
        <f t="shared" si="0"/>
        <v>rokprognozy=2039 i lp=8</v>
      </c>
      <c r="AJ9" s="44" t="str">
        <f t="shared" si="0"/>
        <v>rokprognozy=2040 i lp=8</v>
      </c>
    </row>
    <row r="10" spans="1:36" ht="108">
      <c r="A10" s="5">
        <v>9</v>
      </c>
      <c r="B10" s="11" t="s">
        <v>14</v>
      </c>
      <c r="C10" s="2"/>
      <c r="D10" s="4"/>
      <c r="E10" s="7" t="s">
        <v>13</v>
      </c>
      <c r="F10" s="37"/>
      <c r="G10" s="44" t="str">
        <f t="shared" si="1"/>
        <v>rokprognozy=2011 i lp=9</v>
      </c>
      <c r="H10" s="44" t="str">
        <f t="shared" si="1"/>
        <v>rokprognozy=2012 i lp=9</v>
      </c>
      <c r="I10" s="44" t="str">
        <f t="shared" si="1"/>
        <v>rokprognozy=2013 i lp=9</v>
      </c>
      <c r="J10" s="44" t="str">
        <f t="shared" si="1"/>
        <v>rokprognozy=2014 i lp=9</v>
      </c>
      <c r="K10" s="44" t="str">
        <f t="shared" si="1"/>
        <v>rokprognozy=2015 i lp=9</v>
      </c>
      <c r="L10" s="44" t="str">
        <f t="shared" si="1"/>
        <v>rokprognozy=2016 i lp=9</v>
      </c>
      <c r="M10" s="44" t="str">
        <f t="shared" si="1"/>
        <v>rokprognozy=2017 i lp=9</v>
      </c>
      <c r="N10" s="44" t="str">
        <f t="shared" si="1"/>
        <v>rokprognozy=2018 i lp=9</v>
      </c>
      <c r="O10" s="44" t="str">
        <f t="shared" si="1"/>
        <v>rokprognozy=2019 i lp=9</v>
      </c>
      <c r="P10" s="44" t="str">
        <f t="shared" si="1"/>
        <v>rokprognozy=2020 i lp=9</v>
      </c>
      <c r="Q10" s="44" t="str">
        <f t="shared" si="0"/>
        <v>rokprognozy=2021 i lp=9</v>
      </c>
      <c r="R10" s="44" t="str">
        <f t="shared" si="0"/>
        <v>rokprognozy=2022 i lp=9</v>
      </c>
      <c r="S10" s="44" t="str">
        <f t="shared" si="0"/>
        <v>rokprognozy=2023 i lp=9</v>
      </c>
      <c r="T10" s="44" t="str">
        <f t="shared" si="0"/>
        <v>rokprognozy=2024 i lp=9</v>
      </c>
      <c r="U10" s="44" t="str">
        <f t="shared" si="0"/>
        <v>rokprognozy=2025 i lp=9</v>
      </c>
      <c r="V10" s="44" t="str">
        <f t="shared" si="0"/>
        <v>rokprognozy=2026 i lp=9</v>
      </c>
      <c r="W10" s="44" t="str">
        <f t="shared" si="0"/>
        <v>rokprognozy=2027 i lp=9</v>
      </c>
      <c r="X10" s="44" t="str">
        <f t="shared" si="0"/>
        <v>rokprognozy=2028 i lp=9</v>
      </c>
      <c r="Y10" s="44" t="str">
        <f t="shared" si="0"/>
        <v>rokprognozy=2029 i lp=9</v>
      </c>
      <c r="Z10" s="44" t="str">
        <f t="shared" si="0"/>
        <v>rokprognozy=2030 i lp=9</v>
      </c>
      <c r="AA10" s="44" t="str">
        <f t="shared" si="0"/>
        <v>rokprognozy=2031 i lp=9</v>
      </c>
      <c r="AB10" s="44" t="str">
        <f t="shared" si="0"/>
        <v>rokprognozy=2032 i lp=9</v>
      </c>
      <c r="AC10" s="44" t="str">
        <f t="shared" si="0"/>
        <v>rokprognozy=2033 i lp=9</v>
      </c>
      <c r="AD10" s="44" t="str">
        <f t="shared" si="0"/>
        <v>rokprognozy=2034 i lp=9</v>
      </c>
      <c r="AE10" s="44" t="str">
        <f t="shared" si="0"/>
        <v>rokprognozy=2035 i lp=9</v>
      </c>
      <c r="AF10" s="44" t="str">
        <f t="shared" si="0"/>
        <v>rokprognozy=2036 i lp=9</v>
      </c>
      <c r="AG10" s="44" t="str">
        <f t="shared" si="0"/>
        <v>rokprognozy=2037 i lp=9</v>
      </c>
      <c r="AH10" s="44" t="str">
        <f t="shared" si="0"/>
        <v>rokprognozy=2038 i lp=9</v>
      </c>
      <c r="AI10" s="44" t="str">
        <f t="shared" si="0"/>
        <v>rokprognozy=2039 i lp=9</v>
      </c>
      <c r="AJ10" s="44" t="str">
        <f t="shared" si="0"/>
        <v>rokprognozy=2040 i lp=9</v>
      </c>
    </row>
    <row r="11" spans="1:36" ht="14.25">
      <c r="A11" s="5">
        <v>10</v>
      </c>
      <c r="B11" s="11" t="s">
        <v>50</v>
      </c>
      <c r="C11" s="2"/>
      <c r="D11" s="399" t="s">
        <v>15</v>
      </c>
      <c r="E11" s="400"/>
      <c r="F11" s="39"/>
      <c r="G11" s="44" t="str">
        <f t="shared" si="1"/>
        <v>rokprognozy=2011 i lp=10</v>
      </c>
      <c r="H11" s="44" t="str">
        <f t="shared" si="1"/>
        <v>rokprognozy=2012 i lp=10</v>
      </c>
      <c r="I11" s="44" t="str">
        <f t="shared" si="1"/>
        <v>rokprognozy=2013 i lp=10</v>
      </c>
      <c r="J11" s="44" t="str">
        <f t="shared" si="1"/>
        <v>rokprognozy=2014 i lp=10</v>
      </c>
      <c r="K11" s="44" t="str">
        <f t="shared" si="1"/>
        <v>rokprognozy=2015 i lp=10</v>
      </c>
      <c r="L11" s="44" t="str">
        <f t="shared" si="1"/>
        <v>rokprognozy=2016 i lp=10</v>
      </c>
      <c r="M11" s="44" t="str">
        <f t="shared" si="1"/>
        <v>rokprognozy=2017 i lp=10</v>
      </c>
      <c r="N11" s="44" t="str">
        <f t="shared" si="1"/>
        <v>rokprognozy=2018 i lp=10</v>
      </c>
      <c r="O11" s="44" t="str">
        <f t="shared" si="1"/>
        <v>rokprognozy=2019 i lp=10</v>
      </c>
      <c r="P11" s="44" t="str">
        <f t="shared" si="1"/>
        <v>rokprognozy=2020 i lp=10</v>
      </c>
      <c r="Q11" s="44" t="str">
        <f t="shared" si="0"/>
        <v>rokprognozy=2021 i lp=10</v>
      </c>
      <c r="R11" s="44" t="str">
        <f t="shared" si="0"/>
        <v>rokprognozy=2022 i lp=10</v>
      </c>
      <c r="S11" s="44" t="str">
        <f t="shared" si="0"/>
        <v>rokprognozy=2023 i lp=10</v>
      </c>
      <c r="T11" s="44" t="str">
        <f t="shared" si="0"/>
        <v>rokprognozy=2024 i lp=10</v>
      </c>
      <c r="U11" s="44" t="str">
        <f t="shared" si="0"/>
        <v>rokprognozy=2025 i lp=10</v>
      </c>
      <c r="V11" s="44" t="str">
        <f t="shared" si="0"/>
        <v>rokprognozy=2026 i lp=10</v>
      </c>
      <c r="W11" s="44" t="str">
        <f t="shared" si="0"/>
        <v>rokprognozy=2027 i lp=10</v>
      </c>
      <c r="X11" s="44" t="str">
        <f t="shared" si="0"/>
        <v>rokprognozy=2028 i lp=10</v>
      </c>
      <c r="Y11" s="44" t="str">
        <f t="shared" si="0"/>
        <v>rokprognozy=2029 i lp=10</v>
      </c>
      <c r="Z11" s="44" t="str">
        <f t="shared" si="0"/>
        <v>rokprognozy=2030 i lp=10</v>
      </c>
      <c r="AA11" s="44" t="str">
        <f t="shared" si="0"/>
        <v>rokprognozy=2031 i lp=10</v>
      </c>
      <c r="AB11" s="44" t="str">
        <f t="shared" si="0"/>
        <v>rokprognozy=2032 i lp=10</v>
      </c>
      <c r="AC11" s="44" t="str">
        <f t="shared" si="0"/>
        <v>rokprognozy=2033 i lp=10</v>
      </c>
      <c r="AD11" s="44" t="str">
        <f t="shared" si="0"/>
        <v>rokprognozy=2034 i lp=10</v>
      </c>
      <c r="AE11" s="44" t="str">
        <f t="shared" si="0"/>
        <v>rokprognozy=2035 i lp=10</v>
      </c>
      <c r="AF11" s="44" t="str">
        <f t="shared" si="0"/>
        <v>rokprognozy=2036 i lp=10</v>
      </c>
      <c r="AG11" s="44" t="str">
        <f t="shared" si="0"/>
        <v>rokprognozy=2037 i lp=10</v>
      </c>
      <c r="AH11" s="44" t="str">
        <f t="shared" si="0"/>
        <v>rokprognozy=2038 i lp=10</v>
      </c>
      <c r="AI11" s="44" t="str">
        <f t="shared" si="0"/>
        <v>rokprognozy=2039 i lp=10</v>
      </c>
      <c r="AJ11" s="44" t="str">
        <f t="shared" si="0"/>
        <v>rokprognozy=2040 i lp=10</v>
      </c>
    </row>
    <row r="12" spans="1:36" ht="14.25">
      <c r="A12" s="5">
        <v>11</v>
      </c>
      <c r="B12" s="13" t="s">
        <v>16</v>
      </c>
      <c r="C12" s="382" t="s">
        <v>54</v>
      </c>
      <c r="D12" s="383"/>
      <c r="E12" s="384"/>
      <c r="F12" s="38"/>
      <c r="G12" s="44" t="str">
        <f t="shared" si="1"/>
        <v>rokprognozy=2011 i lp=11</v>
      </c>
      <c r="H12" s="44" t="str">
        <f t="shared" si="1"/>
        <v>rokprognozy=2012 i lp=11</v>
      </c>
      <c r="I12" s="44" t="str">
        <f t="shared" si="1"/>
        <v>rokprognozy=2013 i lp=11</v>
      </c>
      <c r="J12" s="44" t="str">
        <f t="shared" si="1"/>
        <v>rokprognozy=2014 i lp=11</v>
      </c>
      <c r="K12" s="44" t="str">
        <f t="shared" si="1"/>
        <v>rokprognozy=2015 i lp=11</v>
      </c>
      <c r="L12" s="44" t="str">
        <f t="shared" si="1"/>
        <v>rokprognozy=2016 i lp=11</v>
      </c>
      <c r="M12" s="44" t="str">
        <f t="shared" si="1"/>
        <v>rokprognozy=2017 i lp=11</v>
      </c>
      <c r="N12" s="44" t="str">
        <f t="shared" si="1"/>
        <v>rokprognozy=2018 i lp=11</v>
      </c>
      <c r="O12" s="44" t="str">
        <f t="shared" si="1"/>
        <v>rokprognozy=2019 i lp=11</v>
      </c>
      <c r="P12" s="44" t="str">
        <f t="shared" si="1"/>
        <v>rokprognozy=2020 i lp=11</v>
      </c>
      <c r="Q12" s="44" t="str">
        <f t="shared" si="0"/>
        <v>rokprognozy=2021 i lp=11</v>
      </c>
      <c r="R12" s="44" t="str">
        <f t="shared" si="0"/>
        <v>rokprognozy=2022 i lp=11</v>
      </c>
      <c r="S12" s="44" t="str">
        <f t="shared" si="0"/>
        <v>rokprognozy=2023 i lp=11</v>
      </c>
      <c r="T12" s="44" t="str">
        <f t="shared" si="0"/>
        <v>rokprognozy=2024 i lp=11</v>
      </c>
      <c r="U12" s="44" t="str">
        <f t="shared" si="0"/>
        <v>rokprognozy=2025 i lp=11</v>
      </c>
      <c r="V12" s="44" t="str">
        <f t="shared" si="0"/>
        <v>rokprognozy=2026 i lp=11</v>
      </c>
      <c r="W12" s="44" t="str">
        <f t="shared" si="0"/>
        <v>rokprognozy=2027 i lp=11</v>
      </c>
      <c r="X12" s="44" t="str">
        <f t="shared" si="0"/>
        <v>rokprognozy=2028 i lp=11</v>
      </c>
      <c r="Y12" s="44" t="str">
        <f t="shared" si="0"/>
        <v>rokprognozy=2029 i lp=11</v>
      </c>
      <c r="Z12" s="44" t="str">
        <f t="shared" si="0"/>
        <v>rokprognozy=2030 i lp=11</v>
      </c>
      <c r="AA12" s="44" t="str">
        <f t="shared" si="0"/>
        <v>rokprognozy=2031 i lp=11</v>
      </c>
      <c r="AB12" s="44" t="str">
        <f t="shared" si="0"/>
        <v>rokprognozy=2032 i lp=11</v>
      </c>
      <c r="AC12" s="44" t="str">
        <f t="shared" si="0"/>
        <v>rokprognozy=2033 i lp=11</v>
      </c>
      <c r="AD12" s="44" t="str">
        <f t="shared" si="0"/>
        <v>rokprognozy=2034 i lp=11</v>
      </c>
      <c r="AE12" s="44" t="str">
        <f t="shared" si="0"/>
        <v>rokprognozy=2035 i lp=11</v>
      </c>
      <c r="AF12" s="44" t="str">
        <f t="shared" si="0"/>
        <v>rokprognozy=2036 i lp=11</v>
      </c>
      <c r="AG12" s="44" t="str">
        <f t="shared" si="0"/>
        <v>rokprognozy=2037 i lp=11</v>
      </c>
      <c r="AH12" s="44" t="str">
        <f t="shared" si="0"/>
        <v>rokprognozy=2038 i lp=11</v>
      </c>
      <c r="AI12" s="44" t="str">
        <f t="shared" si="0"/>
        <v>rokprognozy=2039 i lp=11</v>
      </c>
      <c r="AJ12" s="44" t="str">
        <f t="shared" si="0"/>
        <v>rokprognozy=2040 i lp=11</v>
      </c>
    </row>
    <row r="13" spans="1:36" ht="14.25">
      <c r="A13" s="5">
        <v>12</v>
      </c>
      <c r="B13" s="12" t="s">
        <v>17</v>
      </c>
      <c r="C13" s="385" t="s">
        <v>18</v>
      </c>
      <c r="D13" s="386"/>
      <c r="E13" s="387"/>
      <c r="F13" s="38"/>
      <c r="G13" s="44" t="str">
        <f t="shared" si="1"/>
        <v>rokprognozy=2011 i lp=12</v>
      </c>
      <c r="H13" s="44" t="str">
        <f t="shared" si="1"/>
        <v>rokprognozy=2012 i lp=12</v>
      </c>
      <c r="I13" s="44" t="str">
        <f t="shared" si="1"/>
        <v>rokprognozy=2013 i lp=12</v>
      </c>
      <c r="J13" s="44" t="str">
        <f t="shared" si="1"/>
        <v>rokprognozy=2014 i lp=12</v>
      </c>
      <c r="K13" s="44" t="str">
        <f t="shared" si="1"/>
        <v>rokprognozy=2015 i lp=12</v>
      </c>
      <c r="L13" s="44" t="str">
        <f t="shared" si="1"/>
        <v>rokprognozy=2016 i lp=12</v>
      </c>
      <c r="M13" s="44" t="str">
        <f t="shared" si="1"/>
        <v>rokprognozy=2017 i lp=12</v>
      </c>
      <c r="N13" s="44" t="str">
        <f t="shared" si="1"/>
        <v>rokprognozy=2018 i lp=12</v>
      </c>
      <c r="O13" s="44" t="str">
        <f t="shared" si="1"/>
        <v>rokprognozy=2019 i lp=12</v>
      </c>
      <c r="P13" s="44" t="str">
        <f t="shared" si="1"/>
        <v>rokprognozy=2020 i lp=12</v>
      </c>
      <c r="Q13" s="44" t="str">
        <f t="shared" si="0"/>
        <v>rokprognozy=2021 i lp=12</v>
      </c>
      <c r="R13" s="44" t="str">
        <f t="shared" si="0"/>
        <v>rokprognozy=2022 i lp=12</v>
      </c>
      <c r="S13" s="44" t="str">
        <f t="shared" si="0"/>
        <v>rokprognozy=2023 i lp=12</v>
      </c>
      <c r="T13" s="44" t="str">
        <f t="shared" si="0"/>
        <v>rokprognozy=2024 i lp=12</v>
      </c>
      <c r="U13" s="44" t="str">
        <f t="shared" si="0"/>
        <v>rokprognozy=2025 i lp=12</v>
      </c>
      <c r="V13" s="44" t="str">
        <f t="shared" si="0"/>
        <v>rokprognozy=2026 i lp=12</v>
      </c>
      <c r="W13" s="44" t="str">
        <f t="shared" si="0"/>
        <v>rokprognozy=2027 i lp=12</v>
      </c>
      <c r="X13" s="44" t="str">
        <f t="shared" si="0"/>
        <v>rokprognozy=2028 i lp=12</v>
      </c>
      <c r="Y13" s="44" t="str">
        <f t="shared" si="0"/>
        <v>rokprognozy=2029 i lp=12</v>
      </c>
      <c r="Z13" s="44" t="str">
        <f t="shared" si="0"/>
        <v>rokprognozy=2030 i lp=12</v>
      </c>
      <c r="AA13" s="44" t="str">
        <f t="shared" si="0"/>
        <v>rokprognozy=2031 i lp=12</v>
      </c>
      <c r="AB13" s="44" t="str">
        <f t="shared" si="0"/>
        <v>rokprognozy=2032 i lp=12</v>
      </c>
      <c r="AC13" s="44" t="str">
        <f t="shared" si="0"/>
        <v>rokprognozy=2033 i lp=12</v>
      </c>
      <c r="AD13" s="44" t="str">
        <f t="shared" si="0"/>
        <v>rokprognozy=2034 i lp=12</v>
      </c>
      <c r="AE13" s="44" t="str">
        <f t="shared" si="0"/>
        <v>rokprognozy=2035 i lp=12</v>
      </c>
      <c r="AF13" s="44" t="str">
        <f t="shared" si="0"/>
        <v>rokprognozy=2036 i lp=12</v>
      </c>
      <c r="AG13" s="44" t="str">
        <f t="shared" si="0"/>
        <v>rokprognozy=2037 i lp=12</v>
      </c>
      <c r="AH13" s="44" t="str">
        <f t="shared" si="0"/>
        <v>rokprognozy=2038 i lp=12</v>
      </c>
      <c r="AI13" s="44" t="str">
        <f t="shared" si="0"/>
        <v>rokprognozy=2039 i lp=12</v>
      </c>
      <c r="AJ13" s="44" t="str">
        <f t="shared" si="0"/>
        <v>rokprognozy=2040 i lp=12</v>
      </c>
    </row>
    <row r="14" spans="1:36" ht="14.25">
      <c r="A14" s="5">
        <v>13</v>
      </c>
      <c r="B14" s="11" t="s">
        <v>2</v>
      </c>
      <c r="C14" s="2"/>
      <c r="D14" s="404" t="s">
        <v>81</v>
      </c>
      <c r="E14" s="405"/>
      <c r="F14" s="37"/>
      <c r="G14" s="44" t="str">
        <f t="shared" si="1"/>
        <v>rokprognozy=2011 i lp=13</v>
      </c>
      <c r="H14" s="44" t="str">
        <f t="shared" si="1"/>
        <v>rokprognozy=2012 i lp=13</v>
      </c>
      <c r="I14" s="44" t="str">
        <f t="shared" si="1"/>
        <v>rokprognozy=2013 i lp=13</v>
      </c>
      <c r="J14" s="44" t="str">
        <f t="shared" si="1"/>
        <v>rokprognozy=2014 i lp=13</v>
      </c>
      <c r="K14" s="44" t="str">
        <f t="shared" si="1"/>
        <v>rokprognozy=2015 i lp=13</v>
      </c>
      <c r="L14" s="44" t="str">
        <f t="shared" si="1"/>
        <v>rokprognozy=2016 i lp=13</v>
      </c>
      <c r="M14" s="44" t="str">
        <f t="shared" si="1"/>
        <v>rokprognozy=2017 i lp=13</v>
      </c>
      <c r="N14" s="44" t="str">
        <f t="shared" si="1"/>
        <v>rokprognozy=2018 i lp=13</v>
      </c>
      <c r="O14" s="44" t="str">
        <f t="shared" si="1"/>
        <v>rokprognozy=2019 i lp=13</v>
      </c>
      <c r="P14" s="44" t="str">
        <f t="shared" si="1"/>
        <v>rokprognozy=2020 i lp=13</v>
      </c>
      <c r="Q14" s="44" t="str">
        <f t="shared" si="0"/>
        <v>rokprognozy=2021 i lp=13</v>
      </c>
      <c r="R14" s="44" t="str">
        <f t="shared" si="0"/>
        <v>rokprognozy=2022 i lp=13</v>
      </c>
      <c r="S14" s="44" t="str">
        <f t="shared" si="0"/>
        <v>rokprognozy=2023 i lp=13</v>
      </c>
      <c r="T14" s="44" t="str">
        <f t="shared" si="0"/>
        <v>rokprognozy=2024 i lp=13</v>
      </c>
      <c r="U14" s="44" t="str">
        <f t="shared" si="0"/>
        <v>rokprognozy=2025 i lp=13</v>
      </c>
      <c r="V14" s="44" t="str">
        <f t="shared" si="0"/>
        <v>rokprognozy=2026 i lp=13</v>
      </c>
      <c r="W14" s="44" t="str">
        <f aca="true" t="shared" si="2" ref="W14:AJ14">+"rokprognozy="&amp;W$1&amp;" i lp="&amp;$A14</f>
        <v>rokprognozy=2027 i lp=13</v>
      </c>
      <c r="X14" s="44" t="str">
        <f t="shared" si="2"/>
        <v>rokprognozy=2028 i lp=13</v>
      </c>
      <c r="Y14" s="44" t="str">
        <f t="shared" si="2"/>
        <v>rokprognozy=2029 i lp=13</v>
      </c>
      <c r="Z14" s="44" t="str">
        <f t="shared" si="2"/>
        <v>rokprognozy=2030 i lp=13</v>
      </c>
      <c r="AA14" s="44" t="str">
        <f t="shared" si="2"/>
        <v>rokprognozy=2031 i lp=13</v>
      </c>
      <c r="AB14" s="44" t="str">
        <f t="shared" si="2"/>
        <v>rokprognozy=2032 i lp=13</v>
      </c>
      <c r="AC14" s="44" t="str">
        <f t="shared" si="2"/>
        <v>rokprognozy=2033 i lp=13</v>
      </c>
      <c r="AD14" s="44" t="str">
        <f t="shared" si="2"/>
        <v>rokprognozy=2034 i lp=13</v>
      </c>
      <c r="AE14" s="44" t="str">
        <f t="shared" si="2"/>
        <v>rokprognozy=2035 i lp=13</v>
      </c>
      <c r="AF14" s="44" t="str">
        <f t="shared" si="2"/>
        <v>rokprognozy=2036 i lp=13</v>
      </c>
      <c r="AG14" s="44" t="str">
        <f t="shared" si="2"/>
        <v>rokprognozy=2037 i lp=13</v>
      </c>
      <c r="AH14" s="44" t="str">
        <f t="shared" si="2"/>
        <v>rokprognozy=2038 i lp=13</v>
      </c>
      <c r="AI14" s="44" t="str">
        <f t="shared" si="2"/>
        <v>rokprognozy=2039 i lp=13</v>
      </c>
      <c r="AJ14" s="44" t="str">
        <f t="shared" si="2"/>
        <v>rokprognozy=2040 i lp=13</v>
      </c>
    </row>
    <row r="15" spans="1:36" ht="14.25">
      <c r="A15" s="5">
        <v>14</v>
      </c>
      <c r="B15" s="12" t="s">
        <v>19</v>
      </c>
      <c r="C15" s="369" t="s">
        <v>80</v>
      </c>
      <c r="D15" s="370"/>
      <c r="E15" s="371"/>
      <c r="F15" s="38"/>
      <c r="G15" s="44" t="str">
        <f t="shared" si="1"/>
        <v>rokprognozy=2011 i lp=14</v>
      </c>
      <c r="H15" s="44" t="str">
        <f t="shared" si="1"/>
        <v>rokprognozy=2012 i lp=14</v>
      </c>
      <c r="I15" s="44" t="str">
        <f t="shared" si="1"/>
        <v>rokprognozy=2013 i lp=14</v>
      </c>
      <c r="J15" s="44" t="str">
        <f t="shared" si="1"/>
        <v>rokprognozy=2014 i lp=14</v>
      </c>
      <c r="K15" s="44" t="str">
        <f t="shared" si="1"/>
        <v>rokprognozy=2015 i lp=14</v>
      </c>
      <c r="L15" s="44" t="str">
        <f t="shared" si="1"/>
        <v>rokprognozy=2016 i lp=14</v>
      </c>
      <c r="M15" s="44" t="str">
        <f t="shared" si="1"/>
        <v>rokprognozy=2017 i lp=14</v>
      </c>
      <c r="N15" s="44" t="str">
        <f t="shared" si="1"/>
        <v>rokprognozy=2018 i lp=14</v>
      </c>
      <c r="O15" s="44" t="str">
        <f t="shared" si="1"/>
        <v>rokprognozy=2019 i lp=14</v>
      </c>
      <c r="P15" s="44" t="str">
        <f t="shared" si="1"/>
        <v>rokprognozy=2020 i lp=14</v>
      </c>
      <c r="Q15" s="44" t="str">
        <f aca="true" t="shared" si="3" ref="Q15:AF30">+"rokprognozy="&amp;Q$1&amp;" i lp="&amp;$A15</f>
        <v>rokprognozy=2021 i lp=14</v>
      </c>
      <c r="R15" s="44" t="str">
        <f t="shared" si="3"/>
        <v>rokprognozy=2022 i lp=14</v>
      </c>
      <c r="S15" s="44" t="str">
        <f t="shared" si="3"/>
        <v>rokprognozy=2023 i lp=14</v>
      </c>
      <c r="T15" s="44" t="str">
        <f t="shared" si="3"/>
        <v>rokprognozy=2024 i lp=14</v>
      </c>
      <c r="U15" s="44" t="str">
        <f t="shared" si="3"/>
        <v>rokprognozy=2025 i lp=14</v>
      </c>
      <c r="V15" s="44" t="str">
        <f t="shared" si="3"/>
        <v>rokprognozy=2026 i lp=14</v>
      </c>
      <c r="W15" s="44" t="str">
        <f t="shared" si="3"/>
        <v>rokprognozy=2027 i lp=14</v>
      </c>
      <c r="X15" s="44" t="str">
        <f t="shared" si="3"/>
        <v>rokprognozy=2028 i lp=14</v>
      </c>
      <c r="Y15" s="44" t="str">
        <f t="shared" si="3"/>
        <v>rokprognozy=2029 i lp=14</v>
      </c>
      <c r="Z15" s="44" t="str">
        <f t="shared" si="3"/>
        <v>rokprognozy=2030 i lp=14</v>
      </c>
      <c r="AA15" s="44" t="str">
        <f t="shared" si="3"/>
        <v>rokprognozy=2031 i lp=14</v>
      </c>
      <c r="AB15" s="44" t="str">
        <f t="shared" si="3"/>
        <v>rokprognozy=2032 i lp=14</v>
      </c>
      <c r="AC15" s="44" t="str">
        <f t="shared" si="3"/>
        <v>rokprognozy=2033 i lp=14</v>
      </c>
      <c r="AD15" s="44" t="str">
        <f t="shared" si="3"/>
        <v>rokprognozy=2034 i lp=14</v>
      </c>
      <c r="AE15" s="44" t="str">
        <f t="shared" si="3"/>
        <v>rokprognozy=2035 i lp=14</v>
      </c>
      <c r="AF15" s="44" t="str">
        <f t="shared" si="3"/>
        <v>rokprognozy=2036 i lp=14</v>
      </c>
      <c r="AG15" s="44" t="str">
        <f aca="true" t="shared" si="4" ref="AG15:AJ30">+"rokprognozy="&amp;AG$1&amp;" i lp="&amp;$A15</f>
        <v>rokprognozy=2037 i lp=14</v>
      </c>
      <c r="AH15" s="44" t="str">
        <f t="shared" si="4"/>
        <v>rokprognozy=2038 i lp=14</v>
      </c>
      <c r="AI15" s="44" t="str">
        <f t="shared" si="4"/>
        <v>rokprognozy=2039 i lp=14</v>
      </c>
      <c r="AJ15" s="44" t="str">
        <f t="shared" si="4"/>
        <v>rokprognozy=2040 i lp=14</v>
      </c>
    </row>
    <row r="16" spans="1:36" ht="14.25">
      <c r="A16" s="5">
        <v>15</v>
      </c>
      <c r="B16" s="13" t="s">
        <v>20</v>
      </c>
      <c r="C16" s="401" t="s">
        <v>53</v>
      </c>
      <c r="D16" s="402"/>
      <c r="E16" s="403"/>
      <c r="F16" s="38"/>
      <c r="G16" s="44" t="str">
        <f t="shared" si="1"/>
        <v>rokprognozy=2011 i lp=15</v>
      </c>
      <c r="H16" s="44" t="str">
        <f t="shared" si="1"/>
        <v>rokprognozy=2012 i lp=15</v>
      </c>
      <c r="I16" s="44" t="str">
        <f t="shared" si="1"/>
        <v>rokprognozy=2013 i lp=15</v>
      </c>
      <c r="J16" s="44" t="str">
        <f t="shared" si="1"/>
        <v>rokprognozy=2014 i lp=15</v>
      </c>
      <c r="K16" s="44" t="str">
        <f t="shared" si="1"/>
        <v>rokprognozy=2015 i lp=15</v>
      </c>
      <c r="L16" s="44" t="str">
        <f t="shared" si="1"/>
        <v>rokprognozy=2016 i lp=15</v>
      </c>
      <c r="M16" s="44" t="str">
        <f t="shared" si="1"/>
        <v>rokprognozy=2017 i lp=15</v>
      </c>
      <c r="N16" s="44" t="str">
        <f t="shared" si="1"/>
        <v>rokprognozy=2018 i lp=15</v>
      </c>
      <c r="O16" s="44" t="str">
        <f t="shared" si="1"/>
        <v>rokprognozy=2019 i lp=15</v>
      </c>
      <c r="P16" s="44" t="str">
        <f t="shared" si="1"/>
        <v>rokprognozy=2020 i lp=15</v>
      </c>
      <c r="Q16" s="44" t="str">
        <f t="shared" si="3"/>
        <v>rokprognozy=2021 i lp=15</v>
      </c>
      <c r="R16" s="44" t="str">
        <f t="shared" si="3"/>
        <v>rokprognozy=2022 i lp=15</v>
      </c>
      <c r="S16" s="44" t="str">
        <f t="shared" si="3"/>
        <v>rokprognozy=2023 i lp=15</v>
      </c>
      <c r="T16" s="44" t="str">
        <f t="shared" si="3"/>
        <v>rokprognozy=2024 i lp=15</v>
      </c>
      <c r="U16" s="44" t="str">
        <f t="shared" si="3"/>
        <v>rokprognozy=2025 i lp=15</v>
      </c>
      <c r="V16" s="44" t="str">
        <f t="shared" si="3"/>
        <v>rokprognozy=2026 i lp=15</v>
      </c>
      <c r="W16" s="44" t="str">
        <f t="shared" si="3"/>
        <v>rokprognozy=2027 i lp=15</v>
      </c>
      <c r="X16" s="44" t="str">
        <f t="shared" si="3"/>
        <v>rokprognozy=2028 i lp=15</v>
      </c>
      <c r="Y16" s="44" t="str">
        <f t="shared" si="3"/>
        <v>rokprognozy=2029 i lp=15</v>
      </c>
      <c r="Z16" s="44" t="str">
        <f t="shared" si="3"/>
        <v>rokprognozy=2030 i lp=15</v>
      </c>
      <c r="AA16" s="44" t="str">
        <f t="shared" si="3"/>
        <v>rokprognozy=2031 i lp=15</v>
      </c>
      <c r="AB16" s="44" t="str">
        <f t="shared" si="3"/>
        <v>rokprognozy=2032 i lp=15</v>
      </c>
      <c r="AC16" s="44" t="str">
        <f t="shared" si="3"/>
        <v>rokprognozy=2033 i lp=15</v>
      </c>
      <c r="AD16" s="44" t="str">
        <f t="shared" si="3"/>
        <v>rokprognozy=2034 i lp=15</v>
      </c>
      <c r="AE16" s="44" t="str">
        <f t="shared" si="3"/>
        <v>rokprognozy=2035 i lp=15</v>
      </c>
      <c r="AF16" s="44" t="str">
        <f t="shared" si="3"/>
        <v>rokprognozy=2036 i lp=15</v>
      </c>
      <c r="AG16" s="44" t="str">
        <f t="shared" si="4"/>
        <v>rokprognozy=2037 i lp=15</v>
      </c>
      <c r="AH16" s="44" t="str">
        <f t="shared" si="4"/>
        <v>rokprognozy=2038 i lp=15</v>
      </c>
      <c r="AI16" s="44" t="str">
        <f t="shared" si="4"/>
        <v>rokprognozy=2039 i lp=15</v>
      </c>
      <c r="AJ16" s="44" t="str">
        <f t="shared" si="4"/>
        <v>rokprognozy=2040 i lp=15</v>
      </c>
    </row>
    <row r="17" spans="1:36" ht="14.25">
      <c r="A17" s="5">
        <v>16</v>
      </c>
      <c r="B17" s="12" t="s">
        <v>21</v>
      </c>
      <c r="C17" s="375" t="s">
        <v>22</v>
      </c>
      <c r="D17" s="376"/>
      <c r="E17" s="377"/>
      <c r="F17" s="38"/>
      <c r="G17" s="44" t="str">
        <f t="shared" si="1"/>
        <v>rokprognozy=2011 i lp=16</v>
      </c>
      <c r="H17" s="44" t="str">
        <f t="shared" si="1"/>
        <v>rokprognozy=2012 i lp=16</v>
      </c>
      <c r="I17" s="44" t="str">
        <f t="shared" si="1"/>
        <v>rokprognozy=2013 i lp=16</v>
      </c>
      <c r="J17" s="44" t="str">
        <f t="shared" si="1"/>
        <v>rokprognozy=2014 i lp=16</v>
      </c>
      <c r="K17" s="44" t="str">
        <f t="shared" si="1"/>
        <v>rokprognozy=2015 i lp=16</v>
      </c>
      <c r="L17" s="44" t="str">
        <f t="shared" si="1"/>
        <v>rokprognozy=2016 i lp=16</v>
      </c>
      <c r="M17" s="44" t="str">
        <f t="shared" si="1"/>
        <v>rokprognozy=2017 i lp=16</v>
      </c>
      <c r="N17" s="44" t="str">
        <f t="shared" si="1"/>
        <v>rokprognozy=2018 i lp=16</v>
      </c>
      <c r="O17" s="44" t="str">
        <f t="shared" si="1"/>
        <v>rokprognozy=2019 i lp=16</v>
      </c>
      <c r="P17" s="44" t="str">
        <f t="shared" si="1"/>
        <v>rokprognozy=2020 i lp=16</v>
      </c>
      <c r="Q17" s="44" t="str">
        <f t="shared" si="3"/>
        <v>rokprognozy=2021 i lp=16</v>
      </c>
      <c r="R17" s="44" t="str">
        <f t="shared" si="3"/>
        <v>rokprognozy=2022 i lp=16</v>
      </c>
      <c r="S17" s="44" t="str">
        <f t="shared" si="3"/>
        <v>rokprognozy=2023 i lp=16</v>
      </c>
      <c r="T17" s="44" t="str">
        <f t="shared" si="3"/>
        <v>rokprognozy=2024 i lp=16</v>
      </c>
      <c r="U17" s="44" t="str">
        <f t="shared" si="3"/>
        <v>rokprognozy=2025 i lp=16</v>
      </c>
      <c r="V17" s="44" t="str">
        <f t="shared" si="3"/>
        <v>rokprognozy=2026 i lp=16</v>
      </c>
      <c r="W17" s="44" t="str">
        <f t="shared" si="3"/>
        <v>rokprognozy=2027 i lp=16</v>
      </c>
      <c r="X17" s="44" t="str">
        <f t="shared" si="3"/>
        <v>rokprognozy=2028 i lp=16</v>
      </c>
      <c r="Y17" s="44" t="str">
        <f t="shared" si="3"/>
        <v>rokprognozy=2029 i lp=16</v>
      </c>
      <c r="Z17" s="44" t="str">
        <f t="shared" si="3"/>
        <v>rokprognozy=2030 i lp=16</v>
      </c>
      <c r="AA17" s="44" t="str">
        <f t="shared" si="3"/>
        <v>rokprognozy=2031 i lp=16</v>
      </c>
      <c r="AB17" s="44" t="str">
        <f t="shared" si="3"/>
        <v>rokprognozy=2032 i lp=16</v>
      </c>
      <c r="AC17" s="44" t="str">
        <f t="shared" si="3"/>
        <v>rokprognozy=2033 i lp=16</v>
      </c>
      <c r="AD17" s="44" t="str">
        <f t="shared" si="3"/>
        <v>rokprognozy=2034 i lp=16</v>
      </c>
      <c r="AE17" s="44" t="str">
        <f t="shared" si="3"/>
        <v>rokprognozy=2035 i lp=16</v>
      </c>
      <c r="AF17" s="44" t="str">
        <f t="shared" si="3"/>
        <v>rokprognozy=2036 i lp=16</v>
      </c>
      <c r="AG17" s="44" t="str">
        <f t="shared" si="4"/>
        <v>rokprognozy=2037 i lp=16</v>
      </c>
      <c r="AH17" s="44" t="str">
        <f t="shared" si="4"/>
        <v>rokprognozy=2038 i lp=16</v>
      </c>
      <c r="AI17" s="44" t="str">
        <f t="shared" si="4"/>
        <v>rokprognozy=2039 i lp=16</v>
      </c>
      <c r="AJ17" s="44" t="str">
        <f t="shared" si="4"/>
        <v>rokprognozy=2040 i lp=16</v>
      </c>
    </row>
    <row r="18" spans="1:36" ht="14.25">
      <c r="A18" s="5">
        <v>17</v>
      </c>
      <c r="B18" s="11" t="s">
        <v>2</v>
      </c>
      <c r="C18" s="26"/>
      <c r="D18" s="378" t="s">
        <v>23</v>
      </c>
      <c r="E18" s="379"/>
      <c r="F18" s="37"/>
      <c r="G18" s="44" t="str">
        <f t="shared" si="1"/>
        <v>rokprognozy=2011 i lp=17</v>
      </c>
      <c r="H18" s="44" t="str">
        <f t="shared" si="1"/>
        <v>rokprognozy=2012 i lp=17</v>
      </c>
      <c r="I18" s="44" t="str">
        <f t="shared" si="1"/>
        <v>rokprognozy=2013 i lp=17</v>
      </c>
      <c r="J18" s="44" t="str">
        <f t="shared" si="1"/>
        <v>rokprognozy=2014 i lp=17</v>
      </c>
      <c r="K18" s="44" t="str">
        <f t="shared" si="1"/>
        <v>rokprognozy=2015 i lp=17</v>
      </c>
      <c r="L18" s="44" t="str">
        <f t="shared" si="1"/>
        <v>rokprognozy=2016 i lp=17</v>
      </c>
      <c r="M18" s="44" t="str">
        <f t="shared" si="1"/>
        <v>rokprognozy=2017 i lp=17</v>
      </c>
      <c r="N18" s="44" t="str">
        <f t="shared" si="1"/>
        <v>rokprognozy=2018 i lp=17</v>
      </c>
      <c r="O18" s="44" t="str">
        <f t="shared" si="1"/>
        <v>rokprognozy=2019 i lp=17</v>
      </c>
      <c r="P18" s="44" t="str">
        <f t="shared" si="1"/>
        <v>rokprognozy=2020 i lp=17</v>
      </c>
      <c r="Q18" s="44" t="str">
        <f t="shared" si="3"/>
        <v>rokprognozy=2021 i lp=17</v>
      </c>
      <c r="R18" s="44" t="str">
        <f t="shared" si="3"/>
        <v>rokprognozy=2022 i lp=17</v>
      </c>
      <c r="S18" s="44" t="str">
        <f t="shared" si="3"/>
        <v>rokprognozy=2023 i lp=17</v>
      </c>
      <c r="T18" s="44" t="str">
        <f t="shared" si="3"/>
        <v>rokprognozy=2024 i lp=17</v>
      </c>
      <c r="U18" s="44" t="str">
        <f t="shared" si="3"/>
        <v>rokprognozy=2025 i lp=17</v>
      </c>
      <c r="V18" s="44" t="str">
        <f t="shared" si="3"/>
        <v>rokprognozy=2026 i lp=17</v>
      </c>
      <c r="W18" s="44" t="str">
        <f t="shared" si="3"/>
        <v>rokprognozy=2027 i lp=17</v>
      </c>
      <c r="X18" s="44" t="str">
        <f t="shared" si="3"/>
        <v>rokprognozy=2028 i lp=17</v>
      </c>
      <c r="Y18" s="44" t="str">
        <f t="shared" si="3"/>
        <v>rokprognozy=2029 i lp=17</v>
      </c>
      <c r="Z18" s="44" t="str">
        <f t="shared" si="3"/>
        <v>rokprognozy=2030 i lp=17</v>
      </c>
      <c r="AA18" s="44" t="str">
        <f t="shared" si="3"/>
        <v>rokprognozy=2031 i lp=17</v>
      </c>
      <c r="AB18" s="44" t="str">
        <f t="shared" si="3"/>
        <v>rokprognozy=2032 i lp=17</v>
      </c>
      <c r="AC18" s="44" t="str">
        <f t="shared" si="3"/>
        <v>rokprognozy=2033 i lp=17</v>
      </c>
      <c r="AD18" s="44" t="str">
        <f t="shared" si="3"/>
        <v>rokprognozy=2034 i lp=17</v>
      </c>
      <c r="AE18" s="44" t="str">
        <f t="shared" si="3"/>
        <v>rokprognozy=2035 i lp=17</v>
      </c>
      <c r="AF18" s="44" t="str">
        <f t="shared" si="3"/>
        <v>rokprognozy=2036 i lp=17</v>
      </c>
      <c r="AG18" s="44" t="str">
        <f t="shared" si="4"/>
        <v>rokprognozy=2037 i lp=17</v>
      </c>
      <c r="AH18" s="44" t="str">
        <f t="shared" si="4"/>
        <v>rokprognozy=2038 i lp=17</v>
      </c>
      <c r="AI18" s="44" t="str">
        <f t="shared" si="4"/>
        <v>rokprognozy=2039 i lp=17</v>
      </c>
      <c r="AJ18" s="44" t="str">
        <f t="shared" si="4"/>
        <v>rokprognozy=2040 i lp=17</v>
      </c>
    </row>
    <row r="19" spans="1:36" ht="14.25">
      <c r="A19" s="5">
        <v>18</v>
      </c>
      <c r="B19" s="11" t="s">
        <v>4</v>
      </c>
      <c r="C19" s="26"/>
      <c r="D19" s="378" t="s">
        <v>24</v>
      </c>
      <c r="E19" s="379"/>
      <c r="F19" s="37"/>
      <c r="G19" s="44" t="str">
        <f t="shared" si="1"/>
        <v>rokprognozy=2011 i lp=18</v>
      </c>
      <c r="H19" s="44" t="str">
        <f t="shared" si="1"/>
        <v>rokprognozy=2012 i lp=18</v>
      </c>
      <c r="I19" s="44" t="str">
        <f t="shared" si="1"/>
        <v>rokprognozy=2013 i lp=18</v>
      </c>
      <c r="J19" s="44" t="str">
        <f t="shared" si="1"/>
        <v>rokprognozy=2014 i lp=18</v>
      </c>
      <c r="K19" s="44" t="str">
        <f t="shared" si="1"/>
        <v>rokprognozy=2015 i lp=18</v>
      </c>
      <c r="L19" s="44" t="str">
        <f t="shared" si="1"/>
        <v>rokprognozy=2016 i lp=18</v>
      </c>
      <c r="M19" s="44" t="str">
        <f t="shared" si="1"/>
        <v>rokprognozy=2017 i lp=18</v>
      </c>
      <c r="N19" s="44" t="str">
        <f t="shared" si="1"/>
        <v>rokprognozy=2018 i lp=18</v>
      </c>
      <c r="O19" s="44" t="str">
        <f t="shared" si="1"/>
        <v>rokprognozy=2019 i lp=18</v>
      </c>
      <c r="P19" s="44" t="str">
        <f t="shared" si="1"/>
        <v>rokprognozy=2020 i lp=18</v>
      </c>
      <c r="Q19" s="44" t="str">
        <f t="shared" si="3"/>
        <v>rokprognozy=2021 i lp=18</v>
      </c>
      <c r="R19" s="44" t="str">
        <f t="shared" si="3"/>
        <v>rokprognozy=2022 i lp=18</v>
      </c>
      <c r="S19" s="44" t="str">
        <f t="shared" si="3"/>
        <v>rokprognozy=2023 i lp=18</v>
      </c>
      <c r="T19" s="44" t="str">
        <f t="shared" si="3"/>
        <v>rokprognozy=2024 i lp=18</v>
      </c>
      <c r="U19" s="44" t="str">
        <f t="shared" si="3"/>
        <v>rokprognozy=2025 i lp=18</v>
      </c>
      <c r="V19" s="44" t="str">
        <f t="shared" si="3"/>
        <v>rokprognozy=2026 i lp=18</v>
      </c>
      <c r="W19" s="44" t="str">
        <f t="shared" si="3"/>
        <v>rokprognozy=2027 i lp=18</v>
      </c>
      <c r="X19" s="44" t="str">
        <f t="shared" si="3"/>
        <v>rokprognozy=2028 i lp=18</v>
      </c>
      <c r="Y19" s="44" t="str">
        <f t="shared" si="3"/>
        <v>rokprognozy=2029 i lp=18</v>
      </c>
      <c r="Z19" s="44" t="str">
        <f t="shared" si="3"/>
        <v>rokprognozy=2030 i lp=18</v>
      </c>
      <c r="AA19" s="44" t="str">
        <f t="shared" si="3"/>
        <v>rokprognozy=2031 i lp=18</v>
      </c>
      <c r="AB19" s="44" t="str">
        <f t="shared" si="3"/>
        <v>rokprognozy=2032 i lp=18</v>
      </c>
      <c r="AC19" s="44" t="str">
        <f t="shared" si="3"/>
        <v>rokprognozy=2033 i lp=18</v>
      </c>
      <c r="AD19" s="44" t="str">
        <f t="shared" si="3"/>
        <v>rokprognozy=2034 i lp=18</v>
      </c>
      <c r="AE19" s="44" t="str">
        <f t="shared" si="3"/>
        <v>rokprognozy=2035 i lp=18</v>
      </c>
      <c r="AF19" s="44" t="str">
        <f t="shared" si="3"/>
        <v>rokprognozy=2036 i lp=18</v>
      </c>
      <c r="AG19" s="44" t="str">
        <f t="shared" si="4"/>
        <v>rokprognozy=2037 i lp=18</v>
      </c>
      <c r="AH19" s="44" t="str">
        <f t="shared" si="4"/>
        <v>rokprognozy=2038 i lp=18</v>
      </c>
      <c r="AI19" s="44" t="str">
        <f t="shared" si="4"/>
        <v>rokprognozy=2039 i lp=18</v>
      </c>
      <c r="AJ19" s="44" t="str">
        <f t="shared" si="4"/>
        <v>rokprognozy=2040 i lp=18</v>
      </c>
    </row>
    <row r="20" spans="1:36" ht="14.25">
      <c r="A20" s="5">
        <v>19</v>
      </c>
      <c r="B20" s="12" t="s">
        <v>25</v>
      </c>
      <c r="C20" s="385" t="s">
        <v>26</v>
      </c>
      <c r="D20" s="386"/>
      <c r="E20" s="387"/>
      <c r="F20" s="38"/>
      <c r="G20" s="44" t="str">
        <f t="shared" si="1"/>
        <v>rokprognozy=2011 i lp=19</v>
      </c>
      <c r="H20" s="44" t="str">
        <f t="shared" si="1"/>
        <v>rokprognozy=2012 i lp=19</v>
      </c>
      <c r="I20" s="44" t="str">
        <f t="shared" si="1"/>
        <v>rokprognozy=2013 i lp=19</v>
      </c>
      <c r="J20" s="44" t="str">
        <f t="shared" si="1"/>
        <v>rokprognozy=2014 i lp=19</v>
      </c>
      <c r="K20" s="44" t="str">
        <f t="shared" si="1"/>
        <v>rokprognozy=2015 i lp=19</v>
      </c>
      <c r="L20" s="44" t="str">
        <f t="shared" si="1"/>
        <v>rokprognozy=2016 i lp=19</v>
      </c>
      <c r="M20" s="44" t="str">
        <f t="shared" si="1"/>
        <v>rokprognozy=2017 i lp=19</v>
      </c>
      <c r="N20" s="44" t="str">
        <f t="shared" si="1"/>
        <v>rokprognozy=2018 i lp=19</v>
      </c>
      <c r="O20" s="44" t="str">
        <f t="shared" si="1"/>
        <v>rokprognozy=2019 i lp=19</v>
      </c>
      <c r="P20" s="44" t="str">
        <f t="shared" si="1"/>
        <v>rokprognozy=2020 i lp=19</v>
      </c>
      <c r="Q20" s="44" t="str">
        <f t="shared" si="3"/>
        <v>rokprognozy=2021 i lp=19</v>
      </c>
      <c r="R20" s="44" t="str">
        <f t="shared" si="3"/>
        <v>rokprognozy=2022 i lp=19</v>
      </c>
      <c r="S20" s="44" t="str">
        <f t="shared" si="3"/>
        <v>rokprognozy=2023 i lp=19</v>
      </c>
      <c r="T20" s="44" t="str">
        <f t="shared" si="3"/>
        <v>rokprognozy=2024 i lp=19</v>
      </c>
      <c r="U20" s="44" t="str">
        <f t="shared" si="3"/>
        <v>rokprognozy=2025 i lp=19</v>
      </c>
      <c r="V20" s="44" t="str">
        <f t="shared" si="3"/>
        <v>rokprognozy=2026 i lp=19</v>
      </c>
      <c r="W20" s="44" t="str">
        <f t="shared" si="3"/>
        <v>rokprognozy=2027 i lp=19</v>
      </c>
      <c r="X20" s="44" t="str">
        <f t="shared" si="3"/>
        <v>rokprognozy=2028 i lp=19</v>
      </c>
      <c r="Y20" s="44" t="str">
        <f t="shared" si="3"/>
        <v>rokprognozy=2029 i lp=19</v>
      </c>
      <c r="Z20" s="44" t="str">
        <f t="shared" si="3"/>
        <v>rokprognozy=2030 i lp=19</v>
      </c>
      <c r="AA20" s="44" t="str">
        <f t="shared" si="3"/>
        <v>rokprognozy=2031 i lp=19</v>
      </c>
      <c r="AB20" s="44" t="str">
        <f t="shared" si="3"/>
        <v>rokprognozy=2032 i lp=19</v>
      </c>
      <c r="AC20" s="44" t="str">
        <f t="shared" si="3"/>
        <v>rokprognozy=2033 i lp=19</v>
      </c>
      <c r="AD20" s="44" t="str">
        <f t="shared" si="3"/>
        <v>rokprognozy=2034 i lp=19</v>
      </c>
      <c r="AE20" s="44" t="str">
        <f t="shared" si="3"/>
        <v>rokprognozy=2035 i lp=19</v>
      </c>
      <c r="AF20" s="44" t="str">
        <f t="shared" si="3"/>
        <v>rokprognozy=2036 i lp=19</v>
      </c>
      <c r="AG20" s="44" t="str">
        <f t="shared" si="4"/>
        <v>rokprognozy=2037 i lp=19</v>
      </c>
      <c r="AH20" s="44" t="str">
        <f t="shared" si="4"/>
        <v>rokprognozy=2038 i lp=19</v>
      </c>
      <c r="AI20" s="44" t="str">
        <f t="shared" si="4"/>
        <v>rokprognozy=2039 i lp=19</v>
      </c>
      <c r="AJ20" s="44" t="str">
        <f t="shared" si="4"/>
        <v>rokprognozy=2040 i lp=19</v>
      </c>
    </row>
    <row r="21" spans="1:36" ht="14.25">
      <c r="A21" s="5">
        <v>20</v>
      </c>
      <c r="B21" s="13" t="s">
        <v>27</v>
      </c>
      <c r="C21" s="382" t="s">
        <v>52</v>
      </c>
      <c r="D21" s="383"/>
      <c r="E21" s="384"/>
      <c r="F21" s="38"/>
      <c r="G21" s="44" t="str">
        <f t="shared" si="1"/>
        <v>rokprognozy=2011 i lp=20</v>
      </c>
      <c r="H21" s="44" t="str">
        <f t="shared" si="1"/>
        <v>rokprognozy=2012 i lp=20</v>
      </c>
      <c r="I21" s="44" t="str">
        <f t="shared" si="1"/>
        <v>rokprognozy=2013 i lp=20</v>
      </c>
      <c r="J21" s="44" t="str">
        <f t="shared" si="1"/>
        <v>rokprognozy=2014 i lp=20</v>
      </c>
      <c r="K21" s="44" t="str">
        <f t="shared" si="1"/>
        <v>rokprognozy=2015 i lp=20</v>
      </c>
      <c r="L21" s="44" t="str">
        <f t="shared" si="1"/>
        <v>rokprognozy=2016 i lp=20</v>
      </c>
      <c r="M21" s="44" t="str">
        <f t="shared" si="1"/>
        <v>rokprognozy=2017 i lp=20</v>
      </c>
      <c r="N21" s="44" t="str">
        <f t="shared" si="1"/>
        <v>rokprognozy=2018 i lp=20</v>
      </c>
      <c r="O21" s="44" t="str">
        <f t="shared" si="1"/>
        <v>rokprognozy=2019 i lp=20</v>
      </c>
      <c r="P21" s="44" t="str">
        <f t="shared" si="1"/>
        <v>rokprognozy=2020 i lp=20</v>
      </c>
      <c r="Q21" s="44" t="str">
        <f t="shared" si="3"/>
        <v>rokprognozy=2021 i lp=20</v>
      </c>
      <c r="R21" s="44" t="str">
        <f t="shared" si="3"/>
        <v>rokprognozy=2022 i lp=20</v>
      </c>
      <c r="S21" s="44" t="str">
        <f t="shared" si="3"/>
        <v>rokprognozy=2023 i lp=20</v>
      </c>
      <c r="T21" s="44" t="str">
        <f t="shared" si="3"/>
        <v>rokprognozy=2024 i lp=20</v>
      </c>
      <c r="U21" s="44" t="str">
        <f t="shared" si="3"/>
        <v>rokprognozy=2025 i lp=20</v>
      </c>
      <c r="V21" s="44" t="str">
        <f t="shared" si="3"/>
        <v>rokprognozy=2026 i lp=20</v>
      </c>
      <c r="W21" s="44" t="str">
        <f t="shared" si="3"/>
        <v>rokprognozy=2027 i lp=20</v>
      </c>
      <c r="X21" s="44" t="str">
        <f t="shared" si="3"/>
        <v>rokprognozy=2028 i lp=20</v>
      </c>
      <c r="Y21" s="44" t="str">
        <f t="shared" si="3"/>
        <v>rokprognozy=2029 i lp=20</v>
      </c>
      <c r="Z21" s="44" t="str">
        <f t="shared" si="3"/>
        <v>rokprognozy=2030 i lp=20</v>
      </c>
      <c r="AA21" s="44" t="str">
        <f t="shared" si="3"/>
        <v>rokprognozy=2031 i lp=20</v>
      </c>
      <c r="AB21" s="44" t="str">
        <f t="shared" si="3"/>
        <v>rokprognozy=2032 i lp=20</v>
      </c>
      <c r="AC21" s="44" t="str">
        <f t="shared" si="3"/>
        <v>rokprognozy=2033 i lp=20</v>
      </c>
      <c r="AD21" s="44" t="str">
        <f t="shared" si="3"/>
        <v>rokprognozy=2034 i lp=20</v>
      </c>
      <c r="AE21" s="44" t="str">
        <f t="shared" si="3"/>
        <v>rokprognozy=2035 i lp=20</v>
      </c>
      <c r="AF21" s="44" t="str">
        <f t="shared" si="3"/>
        <v>rokprognozy=2036 i lp=20</v>
      </c>
      <c r="AG21" s="44" t="str">
        <f t="shared" si="4"/>
        <v>rokprognozy=2037 i lp=20</v>
      </c>
      <c r="AH21" s="44" t="str">
        <f t="shared" si="4"/>
        <v>rokprognozy=2038 i lp=20</v>
      </c>
      <c r="AI21" s="44" t="str">
        <f t="shared" si="4"/>
        <v>rokprognozy=2039 i lp=20</v>
      </c>
      <c r="AJ21" s="44" t="str">
        <f t="shared" si="4"/>
        <v>rokprognozy=2040 i lp=20</v>
      </c>
    </row>
    <row r="22" spans="1:36" ht="14.25">
      <c r="A22" s="5">
        <v>21</v>
      </c>
      <c r="B22" s="12" t="s">
        <v>28</v>
      </c>
      <c r="C22" s="385" t="s">
        <v>29</v>
      </c>
      <c r="D22" s="386"/>
      <c r="E22" s="387"/>
      <c r="F22" s="38"/>
      <c r="G22" s="44" t="str">
        <f t="shared" si="1"/>
        <v>rokprognozy=2011 i lp=21</v>
      </c>
      <c r="H22" s="44" t="str">
        <f t="shared" si="1"/>
        <v>rokprognozy=2012 i lp=21</v>
      </c>
      <c r="I22" s="44" t="str">
        <f t="shared" si="1"/>
        <v>rokprognozy=2013 i lp=21</v>
      </c>
      <c r="J22" s="44" t="str">
        <f t="shared" si="1"/>
        <v>rokprognozy=2014 i lp=21</v>
      </c>
      <c r="K22" s="44" t="str">
        <f t="shared" si="1"/>
        <v>rokprognozy=2015 i lp=21</v>
      </c>
      <c r="L22" s="44" t="str">
        <f t="shared" si="1"/>
        <v>rokprognozy=2016 i lp=21</v>
      </c>
      <c r="M22" s="44" t="str">
        <f t="shared" si="1"/>
        <v>rokprognozy=2017 i lp=21</v>
      </c>
      <c r="N22" s="44" t="str">
        <f t="shared" si="1"/>
        <v>rokprognozy=2018 i lp=21</v>
      </c>
      <c r="O22" s="44" t="str">
        <f t="shared" si="1"/>
        <v>rokprognozy=2019 i lp=21</v>
      </c>
      <c r="P22" s="44" t="str">
        <f t="shared" si="1"/>
        <v>rokprognozy=2020 i lp=21</v>
      </c>
      <c r="Q22" s="44" t="str">
        <f t="shared" si="3"/>
        <v>rokprognozy=2021 i lp=21</v>
      </c>
      <c r="R22" s="44" t="str">
        <f t="shared" si="3"/>
        <v>rokprognozy=2022 i lp=21</v>
      </c>
      <c r="S22" s="44" t="str">
        <f t="shared" si="3"/>
        <v>rokprognozy=2023 i lp=21</v>
      </c>
      <c r="T22" s="44" t="str">
        <f t="shared" si="3"/>
        <v>rokprognozy=2024 i lp=21</v>
      </c>
      <c r="U22" s="44" t="str">
        <f t="shared" si="3"/>
        <v>rokprognozy=2025 i lp=21</v>
      </c>
      <c r="V22" s="44" t="str">
        <f t="shared" si="3"/>
        <v>rokprognozy=2026 i lp=21</v>
      </c>
      <c r="W22" s="44" t="str">
        <f t="shared" si="3"/>
        <v>rokprognozy=2027 i lp=21</v>
      </c>
      <c r="X22" s="44" t="str">
        <f t="shared" si="3"/>
        <v>rokprognozy=2028 i lp=21</v>
      </c>
      <c r="Y22" s="44" t="str">
        <f t="shared" si="3"/>
        <v>rokprognozy=2029 i lp=21</v>
      </c>
      <c r="Z22" s="44" t="str">
        <f t="shared" si="3"/>
        <v>rokprognozy=2030 i lp=21</v>
      </c>
      <c r="AA22" s="44" t="str">
        <f t="shared" si="3"/>
        <v>rokprognozy=2031 i lp=21</v>
      </c>
      <c r="AB22" s="44" t="str">
        <f t="shared" si="3"/>
        <v>rokprognozy=2032 i lp=21</v>
      </c>
      <c r="AC22" s="44" t="str">
        <f t="shared" si="3"/>
        <v>rokprognozy=2033 i lp=21</v>
      </c>
      <c r="AD22" s="44" t="str">
        <f t="shared" si="3"/>
        <v>rokprognozy=2034 i lp=21</v>
      </c>
      <c r="AE22" s="44" t="str">
        <f t="shared" si="3"/>
        <v>rokprognozy=2035 i lp=21</v>
      </c>
      <c r="AF22" s="44" t="str">
        <f t="shared" si="3"/>
        <v>rokprognozy=2036 i lp=21</v>
      </c>
      <c r="AG22" s="44" t="str">
        <f t="shared" si="4"/>
        <v>rokprognozy=2037 i lp=21</v>
      </c>
      <c r="AH22" s="44" t="str">
        <f t="shared" si="4"/>
        <v>rokprognozy=2038 i lp=21</v>
      </c>
      <c r="AI22" s="44" t="str">
        <f t="shared" si="4"/>
        <v>rokprognozy=2039 i lp=21</v>
      </c>
      <c r="AJ22" s="44" t="str">
        <f t="shared" si="4"/>
        <v>rokprognozy=2040 i lp=21</v>
      </c>
    </row>
    <row r="23" spans="1:36" ht="14.25">
      <c r="A23" s="5">
        <v>22</v>
      </c>
      <c r="B23" s="11" t="s">
        <v>2</v>
      </c>
      <c r="C23" s="2"/>
      <c r="D23" s="388" t="s">
        <v>30</v>
      </c>
      <c r="E23" s="389"/>
      <c r="F23" s="39"/>
      <c r="G23" s="44" t="str">
        <f t="shared" si="1"/>
        <v>rokprognozy=2011 i lp=22</v>
      </c>
      <c r="H23" s="44" t="str">
        <f t="shared" si="1"/>
        <v>rokprognozy=2012 i lp=22</v>
      </c>
      <c r="I23" s="44" t="str">
        <f t="shared" si="1"/>
        <v>rokprognozy=2013 i lp=22</v>
      </c>
      <c r="J23" s="44" t="str">
        <f t="shared" si="1"/>
        <v>rokprognozy=2014 i lp=22</v>
      </c>
      <c r="K23" s="44" t="str">
        <f t="shared" si="1"/>
        <v>rokprognozy=2015 i lp=22</v>
      </c>
      <c r="L23" s="44" t="str">
        <f t="shared" si="1"/>
        <v>rokprognozy=2016 i lp=22</v>
      </c>
      <c r="M23" s="44" t="str">
        <f t="shared" si="1"/>
        <v>rokprognozy=2017 i lp=22</v>
      </c>
      <c r="N23" s="44" t="str">
        <f t="shared" si="1"/>
        <v>rokprognozy=2018 i lp=22</v>
      </c>
      <c r="O23" s="44" t="str">
        <f t="shared" si="1"/>
        <v>rokprognozy=2019 i lp=22</v>
      </c>
      <c r="P23" s="44" t="str">
        <f t="shared" si="1"/>
        <v>rokprognozy=2020 i lp=22</v>
      </c>
      <c r="Q23" s="44" t="str">
        <f t="shared" si="3"/>
        <v>rokprognozy=2021 i lp=22</v>
      </c>
      <c r="R23" s="44" t="str">
        <f t="shared" si="3"/>
        <v>rokprognozy=2022 i lp=22</v>
      </c>
      <c r="S23" s="44" t="str">
        <f t="shared" si="3"/>
        <v>rokprognozy=2023 i lp=22</v>
      </c>
      <c r="T23" s="44" t="str">
        <f t="shared" si="3"/>
        <v>rokprognozy=2024 i lp=22</v>
      </c>
      <c r="U23" s="44" t="str">
        <f t="shared" si="3"/>
        <v>rokprognozy=2025 i lp=22</v>
      </c>
      <c r="V23" s="44" t="str">
        <f t="shared" si="3"/>
        <v>rokprognozy=2026 i lp=22</v>
      </c>
      <c r="W23" s="44" t="str">
        <f t="shared" si="3"/>
        <v>rokprognozy=2027 i lp=22</v>
      </c>
      <c r="X23" s="44" t="str">
        <f t="shared" si="3"/>
        <v>rokprognozy=2028 i lp=22</v>
      </c>
      <c r="Y23" s="44" t="str">
        <f t="shared" si="3"/>
        <v>rokprognozy=2029 i lp=22</v>
      </c>
      <c r="Z23" s="44" t="str">
        <f t="shared" si="3"/>
        <v>rokprognozy=2030 i lp=22</v>
      </c>
      <c r="AA23" s="44" t="str">
        <f t="shared" si="3"/>
        <v>rokprognozy=2031 i lp=22</v>
      </c>
      <c r="AB23" s="44" t="str">
        <f t="shared" si="3"/>
        <v>rokprognozy=2032 i lp=22</v>
      </c>
      <c r="AC23" s="44" t="str">
        <f t="shared" si="3"/>
        <v>rokprognozy=2033 i lp=22</v>
      </c>
      <c r="AD23" s="44" t="str">
        <f t="shared" si="3"/>
        <v>rokprognozy=2034 i lp=22</v>
      </c>
      <c r="AE23" s="44" t="str">
        <f t="shared" si="3"/>
        <v>rokprognozy=2035 i lp=22</v>
      </c>
      <c r="AF23" s="44" t="str">
        <f t="shared" si="3"/>
        <v>rokprognozy=2036 i lp=22</v>
      </c>
      <c r="AG23" s="44" t="str">
        <f t="shared" si="4"/>
        <v>rokprognozy=2037 i lp=22</v>
      </c>
      <c r="AH23" s="44" t="str">
        <f t="shared" si="4"/>
        <v>rokprognozy=2038 i lp=22</v>
      </c>
      <c r="AI23" s="44" t="str">
        <f t="shared" si="4"/>
        <v>rokprognozy=2039 i lp=22</v>
      </c>
      <c r="AJ23" s="44" t="str">
        <f t="shared" si="4"/>
        <v>rokprognozy=2040 i lp=22</v>
      </c>
    </row>
    <row r="24" spans="1:36" ht="14.25">
      <c r="A24" s="5">
        <v>23</v>
      </c>
      <c r="B24" s="12" t="s">
        <v>31</v>
      </c>
      <c r="C24" s="369" t="s">
        <v>32</v>
      </c>
      <c r="D24" s="370"/>
      <c r="E24" s="371"/>
      <c r="F24" s="38"/>
      <c r="G24" s="44" t="str">
        <f t="shared" si="1"/>
        <v>rokprognozy=2011 i lp=23</v>
      </c>
      <c r="H24" s="44" t="str">
        <f t="shared" si="1"/>
        <v>rokprognozy=2012 i lp=23</v>
      </c>
      <c r="I24" s="44" t="str">
        <f t="shared" si="1"/>
        <v>rokprognozy=2013 i lp=23</v>
      </c>
      <c r="J24" s="44" t="str">
        <f t="shared" si="1"/>
        <v>rokprognozy=2014 i lp=23</v>
      </c>
      <c r="K24" s="44" t="str">
        <f t="shared" si="1"/>
        <v>rokprognozy=2015 i lp=23</v>
      </c>
      <c r="L24" s="44" t="str">
        <f t="shared" si="1"/>
        <v>rokprognozy=2016 i lp=23</v>
      </c>
      <c r="M24" s="44" t="str">
        <f t="shared" si="1"/>
        <v>rokprognozy=2017 i lp=23</v>
      </c>
      <c r="N24" s="44" t="str">
        <f t="shared" si="1"/>
        <v>rokprognozy=2018 i lp=23</v>
      </c>
      <c r="O24" s="44" t="str">
        <f t="shared" si="1"/>
        <v>rokprognozy=2019 i lp=23</v>
      </c>
      <c r="P24" s="44" t="str">
        <f t="shared" si="1"/>
        <v>rokprognozy=2020 i lp=23</v>
      </c>
      <c r="Q24" s="44" t="str">
        <f t="shared" si="3"/>
        <v>rokprognozy=2021 i lp=23</v>
      </c>
      <c r="R24" s="44" t="str">
        <f t="shared" si="3"/>
        <v>rokprognozy=2022 i lp=23</v>
      </c>
      <c r="S24" s="44" t="str">
        <f t="shared" si="3"/>
        <v>rokprognozy=2023 i lp=23</v>
      </c>
      <c r="T24" s="44" t="str">
        <f t="shared" si="3"/>
        <v>rokprognozy=2024 i lp=23</v>
      </c>
      <c r="U24" s="44" t="str">
        <f t="shared" si="3"/>
        <v>rokprognozy=2025 i lp=23</v>
      </c>
      <c r="V24" s="44" t="str">
        <f t="shared" si="3"/>
        <v>rokprognozy=2026 i lp=23</v>
      </c>
      <c r="W24" s="44" t="str">
        <f t="shared" si="3"/>
        <v>rokprognozy=2027 i lp=23</v>
      </c>
      <c r="X24" s="44" t="str">
        <f t="shared" si="3"/>
        <v>rokprognozy=2028 i lp=23</v>
      </c>
      <c r="Y24" s="44" t="str">
        <f t="shared" si="3"/>
        <v>rokprognozy=2029 i lp=23</v>
      </c>
      <c r="Z24" s="44" t="str">
        <f t="shared" si="3"/>
        <v>rokprognozy=2030 i lp=23</v>
      </c>
      <c r="AA24" s="44" t="str">
        <f t="shared" si="3"/>
        <v>rokprognozy=2031 i lp=23</v>
      </c>
      <c r="AB24" s="44" t="str">
        <f t="shared" si="3"/>
        <v>rokprognozy=2032 i lp=23</v>
      </c>
      <c r="AC24" s="44" t="str">
        <f t="shared" si="3"/>
        <v>rokprognozy=2033 i lp=23</v>
      </c>
      <c r="AD24" s="44" t="str">
        <f t="shared" si="3"/>
        <v>rokprognozy=2034 i lp=23</v>
      </c>
      <c r="AE24" s="44" t="str">
        <f t="shared" si="3"/>
        <v>rokprognozy=2035 i lp=23</v>
      </c>
      <c r="AF24" s="44" t="str">
        <f t="shared" si="3"/>
        <v>rokprognozy=2036 i lp=23</v>
      </c>
      <c r="AG24" s="44" t="str">
        <f t="shared" si="4"/>
        <v>rokprognozy=2037 i lp=23</v>
      </c>
      <c r="AH24" s="44" t="str">
        <f t="shared" si="4"/>
        <v>rokprognozy=2038 i lp=23</v>
      </c>
      <c r="AI24" s="44" t="str">
        <f t="shared" si="4"/>
        <v>rokprognozy=2039 i lp=23</v>
      </c>
      <c r="AJ24" s="44" t="str">
        <f t="shared" si="4"/>
        <v>rokprognozy=2040 i lp=23</v>
      </c>
    </row>
    <row r="25" spans="1:36" ht="15" thickBot="1">
      <c r="A25" s="5">
        <v>24</v>
      </c>
      <c r="B25" s="14" t="s">
        <v>33</v>
      </c>
      <c r="C25" s="390" t="s">
        <v>51</v>
      </c>
      <c r="D25" s="391"/>
      <c r="E25" s="392"/>
      <c r="F25" s="40"/>
      <c r="G25" s="44" t="str">
        <f t="shared" si="1"/>
        <v>rokprognozy=2011 i lp=24</v>
      </c>
      <c r="H25" s="44" t="str">
        <f t="shared" si="1"/>
        <v>rokprognozy=2012 i lp=24</v>
      </c>
      <c r="I25" s="44" t="str">
        <f t="shared" si="1"/>
        <v>rokprognozy=2013 i lp=24</v>
      </c>
      <c r="J25" s="44" t="str">
        <f t="shared" si="1"/>
        <v>rokprognozy=2014 i lp=24</v>
      </c>
      <c r="K25" s="44" t="str">
        <f t="shared" si="1"/>
        <v>rokprognozy=2015 i lp=24</v>
      </c>
      <c r="L25" s="44" t="str">
        <f t="shared" si="1"/>
        <v>rokprognozy=2016 i lp=24</v>
      </c>
      <c r="M25" s="44" t="str">
        <f t="shared" si="1"/>
        <v>rokprognozy=2017 i lp=24</v>
      </c>
      <c r="N25" s="44" t="str">
        <f t="shared" si="1"/>
        <v>rokprognozy=2018 i lp=24</v>
      </c>
      <c r="O25" s="44" t="str">
        <f t="shared" si="1"/>
        <v>rokprognozy=2019 i lp=24</v>
      </c>
      <c r="P25" s="44" t="str">
        <f t="shared" si="1"/>
        <v>rokprognozy=2020 i lp=24</v>
      </c>
      <c r="Q25" s="44" t="str">
        <f t="shared" si="3"/>
        <v>rokprognozy=2021 i lp=24</v>
      </c>
      <c r="R25" s="44" t="str">
        <f t="shared" si="3"/>
        <v>rokprognozy=2022 i lp=24</v>
      </c>
      <c r="S25" s="44" t="str">
        <f t="shared" si="3"/>
        <v>rokprognozy=2023 i lp=24</v>
      </c>
      <c r="T25" s="44" t="str">
        <f t="shared" si="3"/>
        <v>rokprognozy=2024 i lp=24</v>
      </c>
      <c r="U25" s="44" t="str">
        <f t="shared" si="3"/>
        <v>rokprognozy=2025 i lp=24</v>
      </c>
      <c r="V25" s="44" t="str">
        <f t="shared" si="3"/>
        <v>rokprognozy=2026 i lp=24</v>
      </c>
      <c r="W25" s="44" t="str">
        <f t="shared" si="3"/>
        <v>rokprognozy=2027 i lp=24</v>
      </c>
      <c r="X25" s="44" t="str">
        <f t="shared" si="3"/>
        <v>rokprognozy=2028 i lp=24</v>
      </c>
      <c r="Y25" s="44" t="str">
        <f t="shared" si="3"/>
        <v>rokprognozy=2029 i lp=24</v>
      </c>
      <c r="Z25" s="44" t="str">
        <f t="shared" si="3"/>
        <v>rokprognozy=2030 i lp=24</v>
      </c>
      <c r="AA25" s="44" t="str">
        <f t="shared" si="3"/>
        <v>rokprognozy=2031 i lp=24</v>
      </c>
      <c r="AB25" s="44" t="str">
        <f t="shared" si="3"/>
        <v>rokprognozy=2032 i lp=24</v>
      </c>
      <c r="AC25" s="44" t="str">
        <f t="shared" si="3"/>
        <v>rokprognozy=2033 i lp=24</v>
      </c>
      <c r="AD25" s="44" t="str">
        <f t="shared" si="3"/>
        <v>rokprognozy=2034 i lp=24</v>
      </c>
      <c r="AE25" s="44" t="str">
        <f t="shared" si="3"/>
        <v>rokprognozy=2035 i lp=24</v>
      </c>
      <c r="AF25" s="44" t="str">
        <f t="shared" si="3"/>
        <v>rokprognozy=2036 i lp=24</v>
      </c>
      <c r="AG25" s="44" t="str">
        <f t="shared" si="4"/>
        <v>rokprognozy=2037 i lp=24</v>
      </c>
      <c r="AH25" s="44" t="str">
        <f t="shared" si="4"/>
        <v>rokprognozy=2038 i lp=24</v>
      </c>
      <c r="AI25" s="44" t="str">
        <f t="shared" si="4"/>
        <v>rokprognozy=2039 i lp=24</v>
      </c>
      <c r="AJ25" s="44" t="str">
        <f t="shared" si="4"/>
        <v>rokprognozy=2040 i lp=24</v>
      </c>
    </row>
    <row r="26" spans="1:36" ht="14.25">
      <c r="A26" s="5">
        <v>25</v>
      </c>
      <c r="B26" s="15" t="s">
        <v>34</v>
      </c>
      <c r="C26" s="372" t="s">
        <v>38</v>
      </c>
      <c r="D26" s="373"/>
      <c r="E26" s="374"/>
      <c r="F26" s="41"/>
      <c r="G26" s="44" t="str">
        <f t="shared" si="1"/>
        <v>rokprognozy=2011 i lp=25</v>
      </c>
      <c r="H26" s="44" t="str">
        <f t="shared" si="1"/>
        <v>rokprognozy=2012 i lp=25</v>
      </c>
      <c r="I26" s="44" t="str">
        <f t="shared" si="1"/>
        <v>rokprognozy=2013 i lp=25</v>
      </c>
      <c r="J26" s="44" t="str">
        <f t="shared" si="1"/>
        <v>rokprognozy=2014 i lp=25</v>
      </c>
      <c r="K26" s="44" t="str">
        <f t="shared" si="1"/>
        <v>rokprognozy=2015 i lp=25</v>
      </c>
      <c r="L26" s="44" t="str">
        <f t="shared" si="1"/>
        <v>rokprognozy=2016 i lp=25</v>
      </c>
      <c r="M26" s="44" t="str">
        <f t="shared" si="1"/>
        <v>rokprognozy=2017 i lp=25</v>
      </c>
      <c r="N26" s="44" t="str">
        <f t="shared" si="1"/>
        <v>rokprognozy=2018 i lp=25</v>
      </c>
      <c r="O26" s="44" t="str">
        <f t="shared" si="1"/>
        <v>rokprognozy=2019 i lp=25</v>
      </c>
      <c r="P26" s="44" t="str">
        <f t="shared" si="1"/>
        <v>rokprognozy=2020 i lp=25</v>
      </c>
      <c r="Q26" s="44" t="str">
        <f t="shared" si="3"/>
        <v>rokprognozy=2021 i lp=25</v>
      </c>
      <c r="R26" s="44" t="str">
        <f t="shared" si="3"/>
        <v>rokprognozy=2022 i lp=25</v>
      </c>
      <c r="S26" s="44" t="str">
        <f t="shared" si="3"/>
        <v>rokprognozy=2023 i lp=25</v>
      </c>
      <c r="T26" s="44" t="str">
        <f t="shared" si="3"/>
        <v>rokprognozy=2024 i lp=25</v>
      </c>
      <c r="U26" s="44" t="str">
        <f t="shared" si="3"/>
        <v>rokprognozy=2025 i lp=25</v>
      </c>
      <c r="V26" s="44" t="str">
        <f t="shared" si="3"/>
        <v>rokprognozy=2026 i lp=25</v>
      </c>
      <c r="W26" s="44" t="str">
        <f t="shared" si="3"/>
        <v>rokprognozy=2027 i lp=25</v>
      </c>
      <c r="X26" s="44" t="str">
        <f t="shared" si="3"/>
        <v>rokprognozy=2028 i lp=25</v>
      </c>
      <c r="Y26" s="44" t="str">
        <f t="shared" si="3"/>
        <v>rokprognozy=2029 i lp=25</v>
      </c>
      <c r="Z26" s="44" t="str">
        <f t="shared" si="3"/>
        <v>rokprognozy=2030 i lp=25</v>
      </c>
      <c r="AA26" s="44" t="str">
        <f t="shared" si="3"/>
        <v>rokprognozy=2031 i lp=25</v>
      </c>
      <c r="AB26" s="44" t="str">
        <f t="shared" si="3"/>
        <v>rokprognozy=2032 i lp=25</v>
      </c>
      <c r="AC26" s="44" t="str">
        <f t="shared" si="3"/>
        <v>rokprognozy=2033 i lp=25</v>
      </c>
      <c r="AD26" s="44" t="str">
        <f t="shared" si="3"/>
        <v>rokprognozy=2034 i lp=25</v>
      </c>
      <c r="AE26" s="44" t="str">
        <f t="shared" si="3"/>
        <v>rokprognozy=2035 i lp=25</v>
      </c>
      <c r="AF26" s="44" t="str">
        <f t="shared" si="3"/>
        <v>rokprognozy=2036 i lp=25</v>
      </c>
      <c r="AG26" s="44" t="str">
        <f t="shared" si="4"/>
        <v>rokprognozy=2037 i lp=25</v>
      </c>
      <c r="AH26" s="44" t="str">
        <f t="shared" si="4"/>
        <v>rokprognozy=2038 i lp=25</v>
      </c>
      <c r="AI26" s="44" t="str">
        <f t="shared" si="4"/>
        <v>rokprognozy=2039 i lp=25</v>
      </c>
      <c r="AJ26" s="44" t="str">
        <f t="shared" si="4"/>
        <v>rokprognozy=2040 i lp=25</v>
      </c>
    </row>
    <row r="27" spans="1:36" ht="14.25">
      <c r="A27" s="5">
        <v>26</v>
      </c>
      <c r="B27" s="11" t="s">
        <v>2</v>
      </c>
      <c r="C27" s="2"/>
      <c r="D27" s="380" t="s">
        <v>39</v>
      </c>
      <c r="E27" s="381"/>
      <c r="F27" s="37"/>
      <c r="G27" s="44" t="str">
        <f t="shared" si="1"/>
        <v>rokprognozy=2011 i lp=26</v>
      </c>
      <c r="H27" s="44" t="str">
        <f t="shared" si="1"/>
        <v>rokprognozy=2012 i lp=26</v>
      </c>
      <c r="I27" s="44" t="str">
        <f t="shared" si="1"/>
        <v>rokprognozy=2013 i lp=26</v>
      </c>
      <c r="J27" s="44" t="str">
        <f t="shared" si="1"/>
        <v>rokprognozy=2014 i lp=26</v>
      </c>
      <c r="K27" s="44" t="str">
        <f t="shared" si="1"/>
        <v>rokprognozy=2015 i lp=26</v>
      </c>
      <c r="L27" s="44" t="str">
        <f t="shared" si="1"/>
        <v>rokprognozy=2016 i lp=26</v>
      </c>
      <c r="M27" s="44" t="str">
        <f t="shared" si="1"/>
        <v>rokprognozy=2017 i lp=26</v>
      </c>
      <c r="N27" s="44" t="str">
        <f t="shared" si="1"/>
        <v>rokprognozy=2018 i lp=26</v>
      </c>
      <c r="O27" s="44" t="str">
        <f t="shared" si="1"/>
        <v>rokprognozy=2019 i lp=26</v>
      </c>
      <c r="P27" s="44" t="str">
        <f t="shared" si="1"/>
        <v>rokprognozy=2020 i lp=26</v>
      </c>
      <c r="Q27" s="44" t="str">
        <f t="shared" si="3"/>
        <v>rokprognozy=2021 i lp=26</v>
      </c>
      <c r="R27" s="44" t="str">
        <f t="shared" si="3"/>
        <v>rokprognozy=2022 i lp=26</v>
      </c>
      <c r="S27" s="44" t="str">
        <f t="shared" si="3"/>
        <v>rokprognozy=2023 i lp=26</v>
      </c>
      <c r="T27" s="44" t="str">
        <f t="shared" si="3"/>
        <v>rokprognozy=2024 i lp=26</v>
      </c>
      <c r="U27" s="44" t="str">
        <f t="shared" si="3"/>
        <v>rokprognozy=2025 i lp=26</v>
      </c>
      <c r="V27" s="44" t="str">
        <f t="shared" si="3"/>
        <v>rokprognozy=2026 i lp=26</v>
      </c>
      <c r="W27" s="44" t="str">
        <f t="shared" si="3"/>
        <v>rokprognozy=2027 i lp=26</v>
      </c>
      <c r="X27" s="44" t="str">
        <f t="shared" si="3"/>
        <v>rokprognozy=2028 i lp=26</v>
      </c>
      <c r="Y27" s="44" t="str">
        <f t="shared" si="3"/>
        <v>rokprognozy=2029 i lp=26</v>
      </c>
      <c r="Z27" s="44" t="str">
        <f t="shared" si="3"/>
        <v>rokprognozy=2030 i lp=26</v>
      </c>
      <c r="AA27" s="44" t="str">
        <f t="shared" si="3"/>
        <v>rokprognozy=2031 i lp=26</v>
      </c>
      <c r="AB27" s="44" t="str">
        <f t="shared" si="3"/>
        <v>rokprognozy=2032 i lp=26</v>
      </c>
      <c r="AC27" s="44" t="str">
        <f t="shared" si="3"/>
        <v>rokprognozy=2033 i lp=26</v>
      </c>
      <c r="AD27" s="44" t="str">
        <f t="shared" si="3"/>
        <v>rokprognozy=2034 i lp=26</v>
      </c>
      <c r="AE27" s="44" t="str">
        <f t="shared" si="3"/>
        <v>rokprognozy=2035 i lp=26</v>
      </c>
      <c r="AF27" s="44" t="str">
        <f t="shared" si="3"/>
        <v>rokprognozy=2036 i lp=26</v>
      </c>
      <c r="AG27" s="44" t="str">
        <f t="shared" si="4"/>
        <v>rokprognozy=2037 i lp=26</v>
      </c>
      <c r="AH27" s="44" t="str">
        <f t="shared" si="4"/>
        <v>rokprognozy=2038 i lp=26</v>
      </c>
      <c r="AI27" s="44" t="str">
        <f t="shared" si="4"/>
        <v>rokprognozy=2039 i lp=26</v>
      </c>
      <c r="AJ27" s="44" t="str">
        <f t="shared" si="4"/>
        <v>rokprognozy=2040 i lp=26</v>
      </c>
    </row>
    <row r="28" spans="1:36" ht="14.25">
      <c r="A28" s="5">
        <v>27</v>
      </c>
      <c r="B28" s="11" t="s">
        <v>4</v>
      </c>
      <c r="C28" s="2"/>
      <c r="D28" s="380" t="s">
        <v>40</v>
      </c>
      <c r="E28" s="381"/>
      <c r="F28" s="37"/>
      <c r="G28" s="44" t="str">
        <f t="shared" si="1"/>
        <v>rokprognozy=2011 i lp=27</v>
      </c>
      <c r="H28" s="44" t="str">
        <f t="shared" si="1"/>
        <v>rokprognozy=2012 i lp=27</v>
      </c>
      <c r="I28" s="44" t="str">
        <f t="shared" si="1"/>
        <v>rokprognozy=2013 i lp=27</v>
      </c>
      <c r="J28" s="44" t="str">
        <f t="shared" si="1"/>
        <v>rokprognozy=2014 i lp=27</v>
      </c>
      <c r="K28" s="44" t="str">
        <f aca="true" t="shared" si="5" ref="H28:P30">+"rokprognozy="&amp;K$1&amp;" i lp="&amp;$A28</f>
        <v>rokprognozy=2015 i lp=27</v>
      </c>
      <c r="L28" s="44" t="str">
        <f t="shared" si="5"/>
        <v>rokprognozy=2016 i lp=27</v>
      </c>
      <c r="M28" s="44" t="str">
        <f t="shared" si="5"/>
        <v>rokprognozy=2017 i lp=27</v>
      </c>
      <c r="N28" s="44" t="str">
        <f t="shared" si="5"/>
        <v>rokprognozy=2018 i lp=27</v>
      </c>
      <c r="O28" s="44" t="str">
        <f t="shared" si="5"/>
        <v>rokprognozy=2019 i lp=27</v>
      </c>
      <c r="P28" s="44" t="str">
        <f t="shared" si="5"/>
        <v>rokprognozy=2020 i lp=27</v>
      </c>
      <c r="Q28" s="44" t="str">
        <f t="shared" si="3"/>
        <v>rokprognozy=2021 i lp=27</v>
      </c>
      <c r="R28" s="44" t="str">
        <f t="shared" si="3"/>
        <v>rokprognozy=2022 i lp=27</v>
      </c>
      <c r="S28" s="44" t="str">
        <f t="shared" si="3"/>
        <v>rokprognozy=2023 i lp=27</v>
      </c>
      <c r="T28" s="44" t="str">
        <f t="shared" si="3"/>
        <v>rokprognozy=2024 i lp=27</v>
      </c>
      <c r="U28" s="44" t="str">
        <f t="shared" si="3"/>
        <v>rokprognozy=2025 i lp=27</v>
      </c>
      <c r="V28" s="44" t="str">
        <f t="shared" si="3"/>
        <v>rokprognozy=2026 i lp=27</v>
      </c>
      <c r="W28" s="44" t="str">
        <f t="shared" si="3"/>
        <v>rokprognozy=2027 i lp=27</v>
      </c>
      <c r="X28" s="44" t="str">
        <f t="shared" si="3"/>
        <v>rokprognozy=2028 i lp=27</v>
      </c>
      <c r="Y28" s="44" t="str">
        <f t="shared" si="3"/>
        <v>rokprognozy=2029 i lp=27</v>
      </c>
      <c r="Z28" s="44" t="str">
        <f t="shared" si="3"/>
        <v>rokprognozy=2030 i lp=27</v>
      </c>
      <c r="AA28" s="44" t="str">
        <f t="shared" si="3"/>
        <v>rokprognozy=2031 i lp=27</v>
      </c>
      <c r="AB28" s="44" t="str">
        <f t="shared" si="3"/>
        <v>rokprognozy=2032 i lp=27</v>
      </c>
      <c r="AC28" s="44" t="str">
        <f t="shared" si="3"/>
        <v>rokprognozy=2033 i lp=27</v>
      </c>
      <c r="AD28" s="44" t="str">
        <f t="shared" si="3"/>
        <v>rokprognozy=2034 i lp=27</v>
      </c>
      <c r="AE28" s="44" t="str">
        <f t="shared" si="3"/>
        <v>rokprognozy=2035 i lp=27</v>
      </c>
      <c r="AF28" s="44" t="str">
        <f t="shared" si="3"/>
        <v>rokprognozy=2036 i lp=27</v>
      </c>
      <c r="AG28" s="44" t="str">
        <f t="shared" si="4"/>
        <v>rokprognozy=2037 i lp=27</v>
      </c>
      <c r="AH28" s="44" t="str">
        <f t="shared" si="4"/>
        <v>rokprognozy=2038 i lp=27</v>
      </c>
      <c r="AI28" s="44" t="str">
        <f t="shared" si="4"/>
        <v>rokprognozy=2039 i lp=27</v>
      </c>
      <c r="AJ28" s="44" t="str">
        <f t="shared" si="4"/>
        <v>rokprognozy=2040 i lp=27</v>
      </c>
    </row>
    <row r="29" spans="1:36" ht="14.25">
      <c r="A29" s="5">
        <v>28</v>
      </c>
      <c r="B29" s="12" t="s">
        <v>35</v>
      </c>
      <c r="C29" s="369" t="s">
        <v>41</v>
      </c>
      <c r="D29" s="370"/>
      <c r="E29" s="371"/>
      <c r="F29" s="38"/>
      <c r="G29" s="44" t="str">
        <f t="shared" si="1"/>
        <v>rokprognozy=2011 i lp=28</v>
      </c>
      <c r="H29" s="44" t="str">
        <f t="shared" si="5"/>
        <v>rokprognozy=2012 i lp=28</v>
      </c>
      <c r="I29" s="44" t="str">
        <f t="shared" si="5"/>
        <v>rokprognozy=2013 i lp=28</v>
      </c>
      <c r="J29" s="44" t="str">
        <f t="shared" si="5"/>
        <v>rokprognozy=2014 i lp=28</v>
      </c>
      <c r="K29" s="44" t="str">
        <f t="shared" si="5"/>
        <v>rokprognozy=2015 i lp=28</v>
      </c>
      <c r="L29" s="44" t="str">
        <f t="shared" si="5"/>
        <v>rokprognozy=2016 i lp=28</v>
      </c>
      <c r="M29" s="44" t="str">
        <f t="shared" si="5"/>
        <v>rokprognozy=2017 i lp=28</v>
      </c>
      <c r="N29" s="44" t="str">
        <f t="shared" si="5"/>
        <v>rokprognozy=2018 i lp=28</v>
      </c>
      <c r="O29" s="44" t="str">
        <f t="shared" si="5"/>
        <v>rokprognozy=2019 i lp=28</v>
      </c>
      <c r="P29" s="44" t="str">
        <f t="shared" si="5"/>
        <v>rokprognozy=2020 i lp=28</v>
      </c>
      <c r="Q29" s="44" t="str">
        <f t="shared" si="3"/>
        <v>rokprognozy=2021 i lp=28</v>
      </c>
      <c r="R29" s="44" t="str">
        <f t="shared" si="3"/>
        <v>rokprognozy=2022 i lp=28</v>
      </c>
      <c r="S29" s="44" t="str">
        <f t="shared" si="3"/>
        <v>rokprognozy=2023 i lp=28</v>
      </c>
      <c r="T29" s="44" t="str">
        <f t="shared" si="3"/>
        <v>rokprognozy=2024 i lp=28</v>
      </c>
      <c r="U29" s="44" t="str">
        <f t="shared" si="3"/>
        <v>rokprognozy=2025 i lp=28</v>
      </c>
      <c r="V29" s="44" t="str">
        <f t="shared" si="3"/>
        <v>rokprognozy=2026 i lp=28</v>
      </c>
      <c r="W29" s="44" t="str">
        <f t="shared" si="3"/>
        <v>rokprognozy=2027 i lp=28</v>
      </c>
      <c r="X29" s="44" t="str">
        <f t="shared" si="3"/>
        <v>rokprognozy=2028 i lp=28</v>
      </c>
      <c r="Y29" s="44" t="str">
        <f t="shared" si="3"/>
        <v>rokprognozy=2029 i lp=28</v>
      </c>
      <c r="Z29" s="44" t="str">
        <f t="shared" si="3"/>
        <v>rokprognozy=2030 i lp=28</v>
      </c>
      <c r="AA29" s="44" t="str">
        <f t="shared" si="3"/>
        <v>rokprognozy=2031 i lp=28</v>
      </c>
      <c r="AB29" s="44" t="str">
        <f t="shared" si="3"/>
        <v>rokprognozy=2032 i lp=28</v>
      </c>
      <c r="AC29" s="44" t="str">
        <f t="shared" si="3"/>
        <v>rokprognozy=2033 i lp=28</v>
      </c>
      <c r="AD29" s="44" t="str">
        <f t="shared" si="3"/>
        <v>rokprognozy=2034 i lp=28</v>
      </c>
      <c r="AE29" s="44" t="str">
        <f t="shared" si="3"/>
        <v>rokprognozy=2035 i lp=28</v>
      </c>
      <c r="AF29" s="44" t="str">
        <f t="shared" si="3"/>
        <v>rokprognozy=2036 i lp=28</v>
      </c>
      <c r="AG29" s="44" t="str">
        <f t="shared" si="4"/>
        <v>rokprognozy=2037 i lp=28</v>
      </c>
      <c r="AH29" s="44" t="str">
        <f t="shared" si="4"/>
        <v>rokprognozy=2038 i lp=28</v>
      </c>
      <c r="AI29" s="44" t="str">
        <f t="shared" si="4"/>
        <v>rokprognozy=2039 i lp=28</v>
      </c>
      <c r="AJ29" s="44" t="str">
        <f t="shared" si="4"/>
        <v>rokprognozy=2040 i lp=28</v>
      </c>
    </row>
    <row r="30" spans="1:36" ht="49.5" customHeight="1">
      <c r="A30" s="108">
        <v>30</v>
      </c>
      <c r="C30" s="369" t="s">
        <v>94</v>
      </c>
      <c r="D30" s="370"/>
      <c r="E30" s="371"/>
      <c r="G30" s="44" t="str">
        <f>+"rokprognozy="&amp;G$1&amp;" i lp="&amp;$A30</f>
        <v>rokprognozy=2011 i lp=30</v>
      </c>
      <c r="H30" s="44" t="str">
        <f t="shared" si="5"/>
        <v>rokprognozy=2012 i lp=30</v>
      </c>
      <c r="I30" s="44" t="str">
        <f t="shared" si="5"/>
        <v>rokprognozy=2013 i lp=30</v>
      </c>
      <c r="J30" s="109" t="str">
        <f t="shared" si="5"/>
        <v>rokprognozy=2014 i lp=30</v>
      </c>
      <c r="K30" s="109" t="str">
        <f t="shared" si="5"/>
        <v>rokprognozy=2015 i lp=30</v>
      </c>
      <c r="L30" s="109" t="str">
        <f t="shared" si="5"/>
        <v>rokprognozy=2016 i lp=30</v>
      </c>
      <c r="M30" s="109" t="str">
        <f t="shared" si="5"/>
        <v>rokprognozy=2017 i lp=30</v>
      </c>
      <c r="N30" s="109" t="str">
        <f t="shared" si="5"/>
        <v>rokprognozy=2018 i lp=30</v>
      </c>
      <c r="O30" s="109" t="str">
        <f t="shared" si="5"/>
        <v>rokprognozy=2019 i lp=30</v>
      </c>
      <c r="P30" s="109" t="str">
        <f t="shared" si="5"/>
        <v>rokprognozy=2020 i lp=30</v>
      </c>
      <c r="Q30" s="109" t="str">
        <f t="shared" si="3"/>
        <v>rokprognozy=2021 i lp=30</v>
      </c>
      <c r="R30" s="109" t="str">
        <f t="shared" si="3"/>
        <v>rokprognozy=2022 i lp=30</v>
      </c>
      <c r="S30" s="109" t="str">
        <f t="shared" si="3"/>
        <v>rokprognozy=2023 i lp=30</v>
      </c>
      <c r="T30" s="109" t="str">
        <f t="shared" si="3"/>
        <v>rokprognozy=2024 i lp=30</v>
      </c>
      <c r="U30" s="109" t="str">
        <f t="shared" si="3"/>
        <v>rokprognozy=2025 i lp=30</v>
      </c>
      <c r="V30" s="109" t="str">
        <f t="shared" si="3"/>
        <v>rokprognozy=2026 i lp=30</v>
      </c>
      <c r="W30" s="109" t="str">
        <f t="shared" si="3"/>
        <v>rokprognozy=2027 i lp=30</v>
      </c>
      <c r="X30" s="109" t="str">
        <f t="shared" si="3"/>
        <v>rokprognozy=2028 i lp=30</v>
      </c>
      <c r="Y30" s="109" t="str">
        <f t="shared" si="3"/>
        <v>rokprognozy=2029 i lp=30</v>
      </c>
      <c r="Z30" s="109" t="str">
        <f t="shared" si="3"/>
        <v>rokprognozy=2030 i lp=30</v>
      </c>
      <c r="AA30" s="109" t="str">
        <f t="shared" si="3"/>
        <v>rokprognozy=2031 i lp=30</v>
      </c>
      <c r="AB30" s="109" t="str">
        <f t="shared" si="3"/>
        <v>rokprognozy=2032 i lp=30</v>
      </c>
      <c r="AC30" s="109" t="str">
        <f t="shared" si="3"/>
        <v>rokprognozy=2033 i lp=30</v>
      </c>
      <c r="AD30" s="109" t="str">
        <f t="shared" si="3"/>
        <v>rokprognozy=2034 i lp=30</v>
      </c>
      <c r="AE30" s="109" t="str">
        <f t="shared" si="3"/>
        <v>rokprognozy=2035 i lp=30</v>
      </c>
      <c r="AF30" s="109" t="str">
        <f>+"rokprognozy="&amp;AF$1&amp;" i lp="&amp;$A30</f>
        <v>rokprognozy=2036 i lp=30</v>
      </c>
      <c r="AG30" s="109" t="str">
        <f t="shared" si="4"/>
        <v>rokprognozy=2037 i lp=30</v>
      </c>
      <c r="AH30" s="109" t="str">
        <f t="shared" si="4"/>
        <v>rokprognozy=2038 i lp=30</v>
      </c>
      <c r="AI30" s="109" t="str">
        <f t="shared" si="4"/>
        <v>rokprognozy=2039 i lp=30</v>
      </c>
      <c r="AJ30" s="109" t="str">
        <f t="shared" si="4"/>
        <v>rokprognozy=2040 i lp=30</v>
      </c>
    </row>
  </sheetData>
  <sheetProtection/>
  <mergeCells count="28">
    <mergeCell ref="C15:E15"/>
    <mergeCell ref="C16:E16"/>
    <mergeCell ref="C6:E6"/>
    <mergeCell ref="D7:E7"/>
    <mergeCell ref="D8:E8"/>
    <mergeCell ref="D9:E9"/>
    <mergeCell ref="D11:E11"/>
    <mergeCell ref="C12:E12"/>
    <mergeCell ref="C13:E13"/>
    <mergeCell ref="D14:E14"/>
    <mergeCell ref="C1:E1"/>
    <mergeCell ref="C2:E2"/>
    <mergeCell ref="D3:E3"/>
    <mergeCell ref="D4:E4"/>
    <mergeCell ref="C24:E24"/>
    <mergeCell ref="C25:E25"/>
    <mergeCell ref="D19:E19"/>
    <mergeCell ref="C20:E20"/>
    <mergeCell ref="C30:E30"/>
    <mergeCell ref="C26:E26"/>
    <mergeCell ref="C17:E17"/>
    <mergeCell ref="D18:E18"/>
    <mergeCell ref="D27:E27"/>
    <mergeCell ref="D28:E28"/>
    <mergeCell ref="C29:E29"/>
    <mergeCell ref="C21:E21"/>
    <mergeCell ref="C22:E22"/>
    <mergeCell ref="D23:E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252"/>
  <sheetViews>
    <sheetView zoomScalePageLayoutView="0" workbookViewId="0" topLeftCell="H1">
      <selection activeCell="O4" sqref="O4:O25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ht="15">
      <c r="A1" s="52" t="s">
        <v>163</v>
      </c>
    </row>
    <row r="3" spans="1:15" ht="15" thickBot="1">
      <c r="A3" s="192" t="s">
        <v>95</v>
      </c>
      <c r="B3" s="193" t="s">
        <v>96</v>
      </c>
      <c r="C3" s="193" t="s">
        <v>97</v>
      </c>
      <c r="D3" s="193" t="s">
        <v>98</v>
      </c>
      <c r="E3" s="193" t="s">
        <v>99</v>
      </c>
      <c r="F3" s="193" t="s">
        <v>100</v>
      </c>
      <c r="G3" s="193" t="s">
        <v>101</v>
      </c>
      <c r="H3" s="193" t="s">
        <v>102</v>
      </c>
      <c r="I3" s="193" t="s">
        <v>103</v>
      </c>
      <c r="J3" s="193" t="s">
        <v>104</v>
      </c>
      <c r="K3" s="193" t="s">
        <v>105</v>
      </c>
      <c r="L3" s="193" t="s">
        <v>106</v>
      </c>
      <c r="M3" s="193" t="s">
        <v>107</v>
      </c>
      <c r="N3" s="193" t="s">
        <v>111</v>
      </c>
      <c r="O3" s="193" t="s">
        <v>112</v>
      </c>
    </row>
    <row r="4" spans="1:15" ht="14.25">
      <c r="A4" s="191">
        <v>2011</v>
      </c>
      <c r="B4" s="190" t="s">
        <v>166</v>
      </c>
      <c r="C4" s="190" t="s">
        <v>167</v>
      </c>
      <c r="D4" s="114">
        <v>1421042</v>
      </c>
      <c r="E4" s="114">
        <v>2</v>
      </c>
      <c r="F4" s="114"/>
      <c r="G4" s="114">
        <v>40</v>
      </c>
      <c r="H4" s="114">
        <v>23</v>
      </c>
      <c r="I4" s="114" t="s">
        <v>168</v>
      </c>
      <c r="J4" s="114" t="s">
        <v>169</v>
      </c>
      <c r="K4" s="114" t="b">
        <v>0</v>
      </c>
      <c r="L4" s="191">
        <v>2017</v>
      </c>
      <c r="M4" s="115">
        <v>6524716</v>
      </c>
      <c r="N4" s="116">
        <v>40673</v>
      </c>
      <c r="O4" s="116">
        <v>40673</v>
      </c>
    </row>
    <row r="5" spans="1:15" ht="14.25">
      <c r="A5" s="191">
        <v>2011</v>
      </c>
      <c r="B5" s="190">
        <v>2</v>
      </c>
      <c r="C5" s="190" t="s">
        <v>167</v>
      </c>
      <c r="D5" s="114">
        <v>1421042</v>
      </c>
      <c r="E5" s="114">
        <v>2</v>
      </c>
      <c r="F5" s="114"/>
      <c r="G5" s="114">
        <v>40</v>
      </c>
      <c r="H5" s="114">
        <v>23</v>
      </c>
      <c r="I5" s="114" t="s">
        <v>168</v>
      </c>
      <c r="J5" s="114" t="s">
        <v>169</v>
      </c>
      <c r="K5" s="114" t="b">
        <v>0</v>
      </c>
      <c r="L5" s="191">
        <v>2019</v>
      </c>
      <c r="M5" s="115">
        <v>6440000</v>
      </c>
      <c r="N5" s="116">
        <v>40673</v>
      </c>
      <c r="O5" s="116">
        <v>40673</v>
      </c>
    </row>
    <row r="6" spans="1:15" ht="14.25">
      <c r="A6" s="191">
        <v>2011</v>
      </c>
      <c r="B6" s="190">
        <v>2</v>
      </c>
      <c r="C6" s="190" t="s">
        <v>167</v>
      </c>
      <c r="D6" s="114">
        <v>1421042</v>
      </c>
      <c r="E6" s="114">
        <v>2</v>
      </c>
      <c r="F6" s="114"/>
      <c r="G6" s="114">
        <v>40</v>
      </c>
      <c r="H6" s="114">
        <v>23</v>
      </c>
      <c r="I6" s="114" t="s">
        <v>168</v>
      </c>
      <c r="J6" s="114" t="s">
        <v>169</v>
      </c>
      <c r="K6" s="114" t="b">
        <v>0</v>
      </c>
      <c r="L6" s="191">
        <v>2011</v>
      </c>
      <c r="M6" s="115">
        <v>6285426</v>
      </c>
      <c r="N6" s="116">
        <v>40673</v>
      </c>
      <c r="O6" s="116">
        <v>40673</v>
      </c>
    </row>
    <row r="7" spans="1:15" ht="14.25">
      <c r="A7" s="191">
        <v>2011</v>
      </c>
      <c r="B7" s="190">
        <v>2</v>
      </c>
      <c r="C7" s="190" t="s">
        <v>167</v>
      </c>
      <c r="D7" s="114">
        <v>1421042</v>
      </c>
      <c r="E7" s="114">
        <v>2</v>
      </c>
      <c r="F7" s="114"/>
      <c r="G7" s="114">
        <v>40</v>
      </c>
      <c r="H7" s="114">
        <v>23</v>
      </c>
      <c r="I7" s="114" t="s">
        <v>168</v>
      </c>
      <c r="J7" s="114" t="s">
        <v>169</v>
      </c>
      <c r="K7" s="114" t="b">
        <v>0</v>
      </c>
      <c r="L7" s="191">
        <v>2013</v>
      </c>
      <c r="M7" s="115">
        <v>6737812</v>
      </c>
      <c r="N7" s="116">
        <v>40673</v>
      </c>
      <c r="O7" s="116">
        <v>40673</v>
      </c>
    </row>
    <row r="8" spans="1:15" ht="14.25">
      <c r="A8" s="191">
        <v>2011</v>
      </c>
      <c r="B8" s="190">
        <v>2</v>
      </c>
      <c r="C8" s="190" t="s">
        <v>167</v>
      </c>
      <c r="D8" s="114">
        <v>1421042</v>
      </c>
      <c r="E8" s="114">
        <v>2</v>
      </c>
      <c r="F8" s="114"/>
      <c r="G8" s="114">
        <v>40</v>
      </c>
      <c r="H8" s="114">
        <v>23</v>
      </c>
      <c r="I8" s="114" t="s">
        <v>168</v>
      </c>
      <c r="J8" s="114" t="s">
        <v>169</v>
      </c>
      <c r="K8" s="114" t="b">
        <v>0</v>
      </c>
      <c r="L8" s="191">
        <v>2020</v>
      </c>
      <c r="M8" s="115">
        <v>10842265</v>
      </c>
      <c r="N8" s="116">
        <v>40673</v>
      </c>
      <c r="O8" s="116">
        <v>40673</v>
      </c>
    </row>
    <row r="9" spans="1:15" ht="14.25">
      <c r="A9" s="191">
        <v>2011</v>
      </c>
      <c r="B9" s="190">
        <v>2</v>
      </c>
      <c r="C9" s="190" t="s">
        <v>167</v>
      </c>
      <c r="D9" s="114">
        <v>1421042</v>
      </c>
      <c r="E9" s="114">
        <v>2</v>
      </c>
      <c r="F9" s="114"/>
      <c r="G9" s="114">
        <v>40</v>
      </c>
      <c r="H9" s="114">
        <v>23</v>
      </c>
      <c r="I9" s="114" t="s">
        <v>168</v>
      </c>
      <c r="J9" s="114" t="s">
        <v>169</v>
      </c>
      <c r="K9" s="114" t="b">
        <v>0</v>
      </c>
      <c r="L9" s="191">
        <v>2012</v>
      </c>
      <c r="M9" s="115">
        <v>6075426</v>
      </c>
      <c r="N9" s="116">
        <v>40673</v>
      </c>
      <c r="O9" s="116">
        <v>40673</v>
      </c>
    </row>
    <row r="10" spans="1:15" ht="14.25">
      <c r="A10" s="191">
        <v>2011</v>
      </c>
      <c r="B10" s="190">
        <v>2</v>
      </c>
      <c r="C10" s="190" t="s">
        <v>167</v>
      </c>
      <c r="D10" s="114">
        <v>1421042</v>
      </c>
      <c r="E10" s="114">
        <v>2</v>
      </c>
      <c r="F10" s="114"/>
      <c r="G10" s="114">
        <v>40</v>
      </c>
      <c r="H10" s="114">
        <v>23</v>
      </c>
      <c r="I10" s="114" t="s">
        <v>168</v>
      </c>
      <c r="J10" s="114" t="s">
        <v>169</v>
      </c>
      <c r="K10" s="114" t="b">
        <v>0</v>
      </c>
      <c r="L10" s="191">
        <v>2014</v>
      </c>
      <c r="M10" s="115">
        <v>6401690</v>
      </c>
      <c r="N10" s="116">
        <v>40673</v>
      </c>
      <c r="O10" s="116">
        <v>40673</v>
      </c>
    </row>
    <row r="11" spans="1:15" ht="14.25">
      <c r="A11" s="191">
        <v>2011</v>
      </c>
      <c r="B11" s="190">
        <v>2</v>
      </c>
      <c r="C11" s="190" t="s">
        <v>167</v>
      </c>
      <c r="D11" s="114">
        <v>1421042</v>
      </c>
      <c r="E11" s="114">
        <v>2</v>
      </c>
      <c r="F11" s="114"/>
      <c r="G11" s="114">
        <v>40</v>
      </c>
      <c r="H11" s="114">
        <v>23</v>
      </c>
      <c r="I11" s="114" t="s">
        <v>168</v>
      </c>
      <c r="J11" s="114" t="s">
        <v>169</v>
      </c>
      <c r="K11" s="114" t="b">
        <v>0</v>
      </c>
      <c r="L11" s="191">
        <v>2018</v>
      </c>
      <c r="M11" s="115">
        <v>6390000</v>
      </c>
      <c r="N11" s="116">
        <v>40673</v>
      </c>
      <c r="O11" s="116">
        <v>40673</v>
      </c>
    </row>
    <row r="12" spans="1:15" ht="14.25">
      <c r="A12" s="191">
        <v>2011</v>
      </c>
      <c r="B12" s="190">
        <v>2</v>
      </c>
      <c r="C12" s="190" t="s">
        <v>167</v>
      </c>
      <c r="D12" s="114">
        <v>1421042</v>
      </c>
      <c r="E12" s="114">
        <v>2</v>
      </c>
      <c r="F12" s="114"/>
      <c r="G12" s="114">
        <v>40</v>
      </c>
      <c r="H12" s="114">
        <v>23</v>
      </c>
      <c r="I12" s="114" t="s">
        <v>168</v>
      </c>
      <c r="J12" s="114" t="s">
        <v>169</v>
      </c>
      <c r="K12" s="114" t="b">
        <v>0</v>
      </c>
      <c r="L12" s="191">
        <v>2016</v>
      </c>
      <c r="M12" s="115">
        <v>6093547</v>
      </c>
      <c r="N12" s="116">
        <v>40673</v>
      </c>
      <c r="O12" s="116">
        <v>40673</v>
      </c>
    </row>
    <row r="13" spans="1:15" ht="14.25">
      <c r="A13" s="191">
        <v>2011</v>
      </c>
      <c r="B13" s="190">
        <v>2</v>
      </c>
      <c r="C13" s="190" t="s">
        <v>167</v>
      </c>
      <c r="D13" s="114">
        <v>1421042</v>
      </c>
      <c r="E13" s="114">
        <v>2</v>
      </c>
      <c r="F13" s="114"/>
      <c r="G13" s="114">
        <v>40</v>
      </c>
      <c r="H13" s="114">
        <v>23</v>
      </c>
      <c r="I13" s="114" t="s">
        <v>168</v>
      </c>
      <c r="J13" s="114" t="s">
        <v>169</v>
      </c>
      <c r="K13" s="114" t="b">
        <v>0</v>
      </c>
      <c r="L13" s="191">
        <v>2015</v>
      </c>
      <c r="M13" s="115">
        <v>5979257</v>
      </c>
      <c r="N13" s="116">
        <v>40673</v>
      </c>
      <c r="O13" s="116">
        <v>40673</v>
      </c>
    </row>
    <row r="14" spans="1:15" ht="14.25">
      <c r="A14" s="191">
        <v>2011</v>
      </c>
      <c r="B14" s="190">
        <v>2</v>
      </c>
      <c r="C14" s="190" t="s">
        <v>167</v>
      </c>
      <c r="D14" s="114">
        <v>1421042</v>
      </c>
      <c r="E14" s="114">
        <v>2</v>
      </c>
      <c r="F14" s="114"/>
      <c r="G14" s="114">
        <v>18</v>
      </c>
      <c r="H14" s="114" t="s">
        <v>170</v>
      </c>
      <c r="I14" s="114"/>
      <c r="J14" s="114" t="s">
        <v>171</v>
      </c>
      <c r="K14" s="114" t="b">
        <v>1</v>
      </c>
      <c r="L14" s="191">
        <v>2016</v>
      </c>
      <c r="M14" s="115">
        <v>1948276</v>
      </c>
      <c r="N14" s="116">
        <v>40673</v>
      </c>
      <c r="O14" s="116">
        <v>40673</v>
      </c>
    </row>
    <row r="15" spans="1:15" ht="14.25">
      <c r="A15" s="191">
        <v>2011</v>
      </c>
      <c r="B15" s="190">
        <v>2</v>
      </c>
      <c r="C15" s="190" t="s">
        <v>167</v>
      </c>
      <c r="D15" s="114">
        <v>1421042</v>
      </c>
      <c r="E15" s="114">
        <v>2</v>
      </c>
      <c r="F15" s="114"/>
      <c r="G15" s="114">
        <v>18</v>
      </c>
      <c r="H15" s="114" t="s">
        <v>170</v>
      </c>
      <c r="I15" s="114"/>
      <c r="J15" s="114" t="s">
        <v>171</v>
      </c>
      <c r="K15" s="114" t="b">
        <v>1</v>
      </c>
      <c r="L15" s="191">
        <v>2018</v>
      </c>
      <c r="M15" s="115">
        <v>1191180</v>
      </c>
      <c r="N15" s="116">
        <v>40673</v>
      </c>
      <c r="O15" s="116">
        <v>40673</v>
      </c>
    </row>
    <row r="16" spans="1:15" ht="14.25">
      <c r="A16" s="191">
        <v>2011</v>
      </c>
      <c r="B16" s="190">
        <v>2</v>
      </c>
      <c r="C16" s="190" t="s">
        <v>167</v>
      </c>
      <c r="D16" s="114">
        <v>1421042</v>
      </c>
      <c r="E16" s="114">
        <v>2</v>
      </c>
      <c r="F16" s="114"/>
      <c r="G16" s="114">
        <v>18</v>
      </c>
      <c r="H16" s="114" t="s">
        <v>170</v>
      </c>
      <c r="I16" s="114"/>
      <c r="J16" s="114" t="s">
        <v>171</v>
      </c>
      <c r="K16" s="114" t="b">
        <v>1</v>
      </c>
      <c r="L16" s="191">
        <v>2011</v>
      </c>
      <c r="M16" s="115">
        <v>1257101</v>
      </c>
      <c r="N16" s="116">
        <v>40673</v>
      </c>
      <c r="O16" s="116">
        <v>40673</v>
      </c>
    </row>
    <row r="17" spans="1:15" ht="14.25">
      <c r="A17" s="191">
        <v>2011</v>
      </c>
      <c r="B17" s="190">
        <v>2</v>
      </c>
      <c r="C17" s="190" t="s">
        <v>167</v>
      </c>
      <c r="D17" s="114">
        <v>1421042</v>
      </c>
      <c r="E17" s="114">
        <v>2</v>
      </c>
      <c r="F17" s="114"/>
      <c r="G17" s="114">
        <v>18</v>
      </c>
      <c r="H17" s="114" t="s">
        <v>170</v>
      </c>
      <c r="I17" s="114"/>
      <c r="J17" s="114" t="s">
        <v>171</v>
      </c>
      <c r="K17" s="114" t="b">
        <v>1</v>
      </c>
      <c r="L17" s="191">
        <v>2015</v>
      </c>
      <c r="M17" s="115">
        <v>2319060</v>
      </c>
      <c r="N17" s="116">
        <v>40673</v>
      </c>
      <c r="O17" s="116">
        <v>40673</v>
      </c>
    </row>
    <row r="18" spans="1:15" ht="14.25">
      <c r="A18" s="191">
        <v>2011</v>
      </c>
      <c r="B18" s="190">
        <v>2</v>
      </c>
      <c r="C18" s="190" t="s">
        <v>167</v>
      </c>
      <c r="D18" s="114">
        <v>1421042</v>
      </c>
      <c r="E18" s="114">
        <v>2</v>
      </c>
      <c r="F18" s="114"/>
      <c r="G18" s="114">
        <v>18</v>
      </c>
      <c r="H18" s="114" t="s">
        <v>170</v>
      </c>
      <c r="I18" s="114"/>
      <c r="J18" s="114" t="s">
        <v>171</v>
      </c>
      <c r="K18" s="114" t="b">
        <v>1</v>
      </c>
      <c r="L18" s="191">
        <v>2019</v>
      </c>
      <c r="M18" s="115">
        <v>807780</v>
      </c>
      <c r="N18" s="116">
        <v>40673</v>
      </c>
      <c r="O18" s="116">
        <v>40673</v>
      </c>
    </row>
    <row r="19" spans="1:15" ht="14.25">
      <c r="A19" s="191">
        <v>2011</v>
      </c>
      <c r="B19" s="190">
        <v>2</v>
      </c>
      <c r="C19" s="190" t="s">
        <v>167</v>
      </c>
      <c r="D19" s="114">
        <v>1421042</v>
      </c>
      <c r="E19" s="114">
        <v>2</v>
      </c>
      <c r="F19" s="114"/>
      <c r="G19" s="114">
        <v>18</v>
      </c>
      <c r="H19" s="114" t="s">
        <v>170</v>
      </c>
      <c r="I19" s="114"/>
      <c r="J19" s="114" t="s">
        <v>171</v>
      </c>
      <c r="K19" s="114" t="b">
        <v>1</v>
      </c>
      <c r="L19" s="191">
        <v>2012</v>
      </c>
      <c r="M19" s="115">
        <v>1881956</v>
      </c>
      <c r="N19" s="116">
        <v>40673</v>
      </c>
      <c r="O19" s="116">
        <v>40673</v>
      </c>
    </row>
    <row r="20" spans="1:15" ht="14.25">
      <c r="A20" s="191">
        <v>2011</v>
      </c>
      <c r="B20" s="190">
        <v>2</v>
      </c>
      <c r="C20" s="190" t="s">
        <v>167</v>
      </c>
      <c r="D20" s="114">
        <v>1421042</v>
      </c>
      <c r="E20" s="114">
        <v>2</v>
      </c>
      <c r="F20" s="114"/>
      <c r="G20" s="114">
        <v>18</v>
      </c>
      <c r="H20" s="114" t="s">
        <v>170</v>
      </c>
      <c r="I20" s="114"/>
      <c r="J20" s="114" t="s">
        <v>171</v>
      </c>
      <c r="K20" s="114" t="b">
        <v>1</v>
      </c>
      <c r="L20" s="191">
        <v>2020</v>
      </c>
      <c r="M20" s="115">
        <v>421380</v>
      </c>
      <c r="N20" s="116">
        <v>40673</v>
      </c>
      <c r="O20" s="116">
        <v>40673</v>
      </c>
    </row>
    <row r="21" spans="1:15" ht="14.25">
      <c r="A21" s="191">
        <v>2011</v>
      </c>
      <c r="B21" s="190">
        <v>2</v>
      </c>
      <c r="C21" s="190" t="s">
        <v>167</v>
      </c>
      <c r="D21" s="114">
        <v>1421042</v>
      </c>
      <c r="E21" s="114">
        <v>2</v>
      </c>
      <c r="F21" s="114"/>
      <c r="G21" s="114">
        <v>18</v>
      </c>
      <c r="H21" s="114" t="s">
        <v>170</v>
      </c>
      <c r="I21" s="114"/>
      <c r="J21" s="114" t="s">
        <v>171</v>
      </c>
      <c r="K21" s="114" t="b">
        <v>1</v>
      </c>
      <c r="L21" s="191">
        <v>2014</v>
      </c>
      <c r="M21" s="115">
        <v>2223162</v>
      </c>
      <c r="N21" s="116">
        <v>40673</v>
      </c>
      <c r="O21" s="116">
        <v>40673</v>
      </c>
    </row>
    <row r="22" spans="1:15" ht="14.25">
      <c r="A22" s="191">
        <v>2011</v>
      </c>
      <c r="B22" s="190">
        <v>2</v>
      </c>
      <c r="C22" s="190" t="s">
        <v>167</v>
      </c>
      <c r="D22" s="114">
        <v>1421042</v>
      </c>
      <c r="E22" s="114">
        <v>2</v>
      </c>
      <c r="F22" s="114"/>
      <c r="G22" s="114">
        <v>18</v>
      </c>
      <c r="H22" s="114" t="s">
        <v>170</v>
      </c>
      <c r="I22" s="114"/>
      <c r="J22" s="114" t="s">
        <v>171</v>
      </c>
      <c r="K22" s="114" t="b">
        <v>1</v>
      </c>
      <c r="L22" s="191">
        <v>2017</v>
      </c>
      <c r="M22" s="115">
        <v>1582663</v>
      </c>
      <c r="N22" s="116">
        <v>40673</v>
      </c>
      <c r="O22" s="116">
        <v>40673</v>
      </c>
    </row>
    <row r="23" spans="1:15" ht="14.25">
      <c r="A23" s="191">
        <v>2011</v>
      </c>
      <c r="B23" s="190">
        <v>2</v>
      </c>
      <c r="C23" s="190" t="s">
        <v>167</v>
      </c>
      <c r="D23" s="114">
        <v>1421042</v>
      </c>
      <c r="E23" s="114">
        <v>2</v>
      </c>
      <c r="F23" s="114"/>
      <c r="G23" s="114">
        <v>18</v>
      </c>
      <c r="H23" s="114" t="s">
        <v>170</v>
      </c>
      <c r="I23" s="114"/>
      <c r="J23" s="114" t="s">
        <v>171</v>
      </c>
      <c r="K23" s="114" t="b">
        <v>1</v>
      </c>
      <c r="L23" s="191">
        <v>2013</v>
      </c>
      <c r="M23" s="115">
        <v>2147430</v>
      </c>
      <c r="N23" s="116">
        <v>40673</v>
      </c>
      <c r="O23" s="116">
        <v>40673</v>
      </c>
    </row>
    <row r="24" spans="1:15" ht="14.25">
      <c r="A24" s="191">
        <v>2011</v>
      </c>
      <c r="B24" s="190">
        <v>2</v>
      </c>
      <c r="C24" s="190" t="s">
        <v>167</v>
      </c>
      <c r="D24" s="114">
        <v>1421042</v>
      </c>
      <c r="E24" s="114">
        <v>2</v>
      </c>
      <c r="F24" s="114"/>
      <c r="G24" s="114">
        <v>24</v>
      </c>
      <c r="H24" s="114">
        <v>12</v>
      </c>
      <c r="I24" s="114" t="s">
        <v>172</v>
      </c>
      <c r="J24" s="114" t="s">
        <v>173</v>
      </c>
      <c r="K24" s="114" t="b">
        <v>0</v>
      </c>
      <c r="L24" s="191">
        <v>2011</v>
      </c>
      <c r="M24" s="115">
        <v>74056.26</v>
      </c>
      <c r="N24" s="116">
        <v>40673</v>
      </c>
      <c r="O24" s="116">
        <v>40673</v>
      </c>
    </row>
    <row r="25" spans="1:15" ht="14.25">
      <c r="A25" s="191">
        <v>2011</v>
      </c>
      <c r="B25" s="190">
        <v>2</v>
      </c>
      <c r="C25" s="190" t="s">
        <v>167</v>
      </c>
      <c r="D25" s="114">
        <v>1421042</v>
      </c>
      <c r="E25" s="114">
        <v>2</v>
      </c>
      <c r="F25" s="114"/>
      <c r="G25" s="114">
        <v>39</v>
      </c>
      <c r="H25" s="114">
        <v>22</v>
      </c>
      <c r="I25" s="114" t="s">
        <v>174</v>
      </c>
      <c r="J25" s="114" t="s">
        <v>175</v>
      </c>
      <c r="K25" s="114" t="b">
        <v>0</v>
      </c>
      <c r="L25" s="191">
        <v>2014</v>
      </c>
      <c r="M25" s="115">
        <v>8000000</v>
      </c>
      <c r="N25" s="116">
        <v>40673</v>
      </c>
      <c r="O25" s="116">
        <v>40673</v>
      </c>
    </row>
    <row r="26" spans="1:15" ht="14.25">
      <c r="A26" s="191">
        <v>2011</v>
      </c>
      <c r="B26" s="190">
        <v>2</v>
      </c>
      <c r="C26" s="190" t="s">
        <v>167</v>
      </c>
      <c r="D26" s="114">
        <v>1421042</v>
      </c>
      <c r="E26" s="114">
        <v>2</v>
      </c>
      <c r="F26" s="114"/>
      <c r="G26" s="114">
        <v>39</v>
      </c>
      <c r="H26" s="114">
        <v>22</v>
      </c>
      <c r="I26" s="114" t="s">
        <v>174</v>
      </c>
      <c r="J26" s="114" t="s">
        <v>175</v>
      </c>
      <c r="K26" s="114" t="b">
        <v>0</v>
      </c>
      <c r="L26" s="191">
        <v>2012</v>
      </c>
      <c r="M26" s="115">
        <v>12700000</v>
      </c>
      <c r="N26" s="116">
        <v>40673</v>
      </c>
      <c r="O26" s="116">
        <v>40673</v>
      </c>
    </row>
    <row r="27" spans="1:15" ht="14.25">
      <c r="A27" s="191">
        <v>2011</v>
      </c>
      <c r="B27" s="190">
        <v>2</v>
      </c>
      <c r="C27" s="190" t="s">
        <v>167</v>
      </c>
      <c r="D27" s="114">
        <v>1421042</v>
      </c>
      <c r="E27" s="114">
        <v>2</v>
      </c>
      <c r="F27" s="114"/>
      <c r="G27" s="114">
        <v>39</v>
      </c>
      <c r="H27" s="114">
        <v>22</v>
      </c>
      <c r="I27" s="114" t="s">
        <v>174</v>
      </c>
      <c r="J27" s="114" t="s">
        <v>175</v>
      </c>
      <c r="K27" s="114" t="b">
        <v>0</v>
      </c>
      <c r="L27" s="191">
        <v>2013</v>
      </c>
      <c r="M27" s="115">
        <v>8000000</v>
      </c>
      <c r="N27" s="116">
        <v>40673</v>
      </c>
      <c r="O27" s="116">
        <v>40673</v>
      </c>
    </row>
    <row r="28" spans="1:15" ht="14.25">
      <c r="A28" s="191">
        <v>2011</v>
      </c>
      <c r="B28" s="190">
        <v>2</v>
      </c>
      <c r="C28" s="190" t="s">
        <v>167</v>
      </c>
      <c r="D28" s="114">
        <v>1421042</v>
      </c>
      <c r="E28" s="114">
        <v>2</v>
      </c>
      <c r="F28" s="114"/>
      <c r="G28" s="114">
        <v>39</v>
      </c>
      <c r="H28" s="114">
        <v>22</v>
      </c>
      <c r="I28" s="114" t="s">
        <v>174</v>
      </c>
      <c r="J28" s="114" t="s">
        <v>175</v>
      </c>
      <c r="K28" s="114" t="b">
        <v>0</v>
      </c>
      <c r="L28" s="191">
        <v>2011</v>
      </c>
      <c r="M28" s="115">
        <v>16374056.26</v>
      </c>
      <c r="N28" s="116">
        <v>40673</v>
      </c>
      <c r="O28" s="116">
        <v>40673</v>
      </c>
    </row>
    <row r="29" spans="1:15" ht="14.25">
      <c r="A29" s="191">
        <v>2011</v>
      </c>
      <c r="B29" s="190">
        <v>2</v>
      </c>
      <c r="C29" s="190" t="s">
        <v>167</v>
      </c>
      <c r="D29" s="114">
        <v>1421042</v>
      </c>
      <c r="E29" s="114">
        <v>2</v>
      </c>
      <c r="F29" s="114"/>
      <c r="G29" s="114">
        <v>31</v>
      </c>
      <c r="H29" s="114" t="s">
        <v>176</v>
      </c>
      <c r="I29" s="114" t="s">
        <v>177</v>
      </c>
      <c r="J29" s="114" t="s">
        <v>178</v>
      </c>
      <c r="K29" s="114" t="b">
        <v>1</v>
      </c>
      <c r="L29" s="191">
        <v>2013</v>
      </c>
      <c r="M29" s="115">
        <v>0.1094</v>
      </c>
      <c r="N29" s="116">
        <v>40673</v>
      </c>
      <c r="O29" s="116">
        <v>40673</v>
      </c>
    </row>
    <row r="30" spans="1:15" ht="14.25">
      <c r="A30" s="191">
        <v>2011</v>
      </c>
      <c r="B30" s="190">
        <v>2</v>
      </c>
      <c r="C30" s="190" t="s">
        <v>167</v>
      </c>
      <c r="D30" s="114">
        <v>1421042</v>
      </c>
      <c r="E30" s="114">
        <v>2</v>
      </c>
      <c r="F30" s="114"/>
      <c r="G30" s="114">
        <v>31</v>
      </c>
      <c r="H30" s="114" t="s">
        <v>176</v>
      </c>
      <c r="I30" s="114" t="s">
        <v>177</v>
      </c>
      <c r="J30" s="114" t="s">
        <v>178</v>
      </c>
      <c r="K30" s="114" t="b">
        <v>1</v>
      </c>
      <c r="L30" s="191">
        <v>2019</v>
      </c>
      <c r="M30" s="115">
        <v>0.0641</v>
      </c>
      <c r="N30" s="116">
        <v>40673</v>
      </c>
      <c r="O30" s="116">
        <v>40673</v>
      </c>
    </row>
    <row r="31" spans="1:15" ht="14.25">
      <c r="A31" s="191">
        <v>2011</v>
      </c>
      <c r="B31" s="190">
        <v>2</v>
      </c>
      <c r="C31" s="190" t="s">
        <v>167</v>
      </c>
      <c r="D31" s="114">
        <v>1421042</v>
      </c>
      <c r="E31" s="114">
        <v>2</v>
      </c>
      <c r="F31" s="114"/>
      <c r="G31" s="114">
        <v>31</v>
      </c>
      <c r="H31" s="114" t="s">
        <v>176</v>
      </c>
      <c r="I31" s="114" t="s">
        <v>177</v>
      </c>
      <c r="J31" s="114" t="s">
        <v>178</v>
      </c>
      <c r="K31" s="114" t="b">
        <v>1</v>
      </c>
      <c r="L31" s="191">
        <v>2018</v>
      </c>
      <c r="M31" s="115">
        <v>0.0711</v>
      </c>
      <c r="N31" s="116">
        <v>40673</v>
      </c>
      <c r="O31" s="116">
        <v>40673</v>
      </c>
    </row>
    <row r="32" spans="1:15" ht="14.25">
      <c r="A32" s="191">
        <v>2011</v>
      </c>
      <c r="B32" s="190">
        <v>2</v>
      </c>
      <c r="C32" s="190" t="s">
        <v>167</v>
      </c>
      <c r="D32" s="114">
        <v>1421042</v>
      </c>
      <c r="E32" s="114">
        <v>2</v>
      </c>
      <c r="F32" s="114"/>
      <c r="G32" s="114">
        <v>31</v>
      </c>
      <c r="H32" s="114" t="s">
        <v>176</v>
      </c>
      <c r="I32" s="114" t="s">
        <v>177</v>
      </c>
      <c r="J32" s="114" t="s">
        <v>178</v>
      </c>
      <c r="K32" s="114" t="b">
        <v>1</v>
      </c>
      <c r="L32" s="191">
        <v>2014</v>
      </c>
      <c r="M32" s="115">
        <v>0.1002</v>
      </c>
      <c r="N32" s="116">
        <v>40673</v>
      </c>
      <c r="O32" s="116">
        <v>40673</v>
      </c>
    </row>
    <row r="33" spans="1:15" ht="14.25">
      <c r="A33" s="191">
        <v>2011</v>
      </c>
      <c r="B33" s="190">
        <v>2</v>
      </c>
      <c r="C33" s="190" t="s">
        <v>167</v>
      </c>
      <c r="D33" s="114">
        <v>1421042</v>
      </c>
      <c r="E33" s="114">
        <v>2</v>
      </c>
      <c r="F33" s="114"/>
      <c r="G33" s="114">
        <v>31</v>
      </c>
      <c r="H33" s="114" t="s">
        <v>176</v>
      </c>
      <c r="I33" s="114" t="s">
        <v>177</v>
      </c>
      <c r="J33" s="114" t="s">
        <v>178</v>
      </c>
      <c r="K33" s="114" t="b">
        <v>1</v>
      </c>
      <c r="L33" s="191">
        <v>2016</v>
      </c>
      <c r="M33" s="115">
        <v>0.0842</v>
      </c>
      <c r="N33" s="116">
        <v>40673</v>
      </c>
      <c r="O33" s="116">
        <v>40673</v>
      </c>
    </row>
    <row r="34" spans="1:15" ht="14.25">
      <c r="A34" s="191">
        <v>2011</v>
      </c>
      <c r="B34" s="190">
        <v>2</v>
      </c>
      <c r="C34" s="190" t="s">
        <v>167</v>
      </c>
      <c r="D34" s="114">
        <v>1421042</v>
      </c>
      <c r="E34" s="114">
        <v>2</v>
      </c>
      <c r="F34" s="114"/>
      <c r="G34" s="114">
        <v>31</v>
      </c>
      <c r="H34" s="114" t="s">
        <v>176</v>
      </c>
      <c r="I34" s="114" t="s">
        <v>177</v>
      </c>
      <c r="J34" s="114" t="s">
        <v>178</v>
      </c>
      <c r="K34" s="114" t="b">
        <v>1</v>
      </c>
      <c r="L34" s="191">
        <v>2015</v>
      </c>
      <c r="M34" s="115">
        <v>0.0907</v>
      </c>
      <c r="N34" s="116">
        <v>40673</v>
      </c>
      <c r="O34" s="116">
        <v>40673</v>
      </c>
    </row>
    <row r="35" spans="1:15" ht="14.25">
      <c r="A35" s="191">
        <v>2011</v>
      </c>
      <c r="B35" s="190">
        <v>2</v>
      </c>
      <c r="C35" s="190" t="s">
        <v>167</v>
      </c>
      <c r="D35" s="114">
        <v>1421042</v>
      </c>
      <c r="E35" s="114">
        <v>2</v>
      </c>
      <c r="F35" s="114"/>
      <c r="G35" s="114">
        <v>31</v>
      </c>
      <c r="H35" s="114" t="s">
        <v>176</v>
      </c>
      <c r="I35" s="114" t="s">
        <v>177</v>
      </c>
      <c r="J35" s="114" t="s">
        <v>178</v>
      </c>
      <c r="K35" s="114" t="b">
        <v>1</v>
      </c>
      <c r="L35" s="191">
        <v>2011</v>
      </c>
      <c r="M35" s="115">
        <v>0.0956</v>
      </c>
      <c r="N35" s="116">
        <v>40673</v>
      </c>
      <c r="O35" s="116">
        <v>40673</v>
      </c>
    </row>
    <row r="36" spans="1:15" ht="14.25">
      <c r="A36" s="191">
        <v>2011</v>
      </c>
      <c r="B36" s="190">
        <v>2</v>
      </c>
      <c r="C36" s="190" t="s">
        <v>167</v>
      </c>
      <c r="D36" s="114">
        <v>1421042</v>
      </c>
      <c r="E36" s="114">
        <v>2</v>
      </c>
      <c r="F36" s="114"/>
      <c r="G36" s="114">
        <v>31</v>
      </c>
      <c r="H36" s="114" t="s">
        <v>176</v>
      </c>
      <c r="I36" s="114" t="s">
        <v>177</v>
      </c>
      <c r="J36" s="114" t="s">
        <v>178</v>
      </c>
      <c r="K36" s="114" t="b">
        <v>1</v>
      </c>
      <c r="L36" s="191">
        <v>2012</v>
      </c>
      <c r="M36" s="115">
        <v>0.1054</v>
      </c>
      <c r="N36" s="116">
        <v>40673</v>
      </c>
      <c r="O36" s="116">
        <v>40673</v>
      </c>
    </row>
    <row r="37" spans="1:15" ht="14.25">
      <c r="A37" s="191">
        <v>2011</v>
      </c>
      <c r="B37" s="190">
        <v>2</v>
      </c>
      <c r="C37" s="190" t="s">
        <v>167</v>
      </c>
      <c r="D37" s="114">
        <v>1421042</v>
      </c>
      <c r="E37" s="114">
        <v>2</v>
      </c>
      <c r="F37" s="114"/>
      <c r="G37" s="114">
        <v>31</v>
      </c>
      <c r="H37" s="114" t="s">
        <v>176</v>
      </c>
      <c r="I37" s="114" t="s">
        <v>177</v>
      </c>
      <c r="J37" s="114" t="s">
        <v>178</v>
      </c>
      <c r="K37" s="114" t="b">
        <v>1</v>
      </c>
      <c r="L37" s="191">
        <v>2020</v>
      </c>
      <c r="M37" s="115">
        <v>0.0964</v>
      </c>
      <c r="N37" s="116">
        <v>40673</v>
      </c>
      <c r="O37" s="116">
        <v>40673</v>
      </c>
    </row>
    <row r="38" spans="1:15" ht="14.25">
      <c r="A38" s="191">
        <v>2011</v>
      </c>
      <c r="B38" s="190">
        <v>2</v>
      </c>
      <c r="C38" s="190" t="s">
        <v>167</v>
      </c>
      <c r="D38" s="114">
        <v>1421042</v>
      </c>
      <c r="E38" s="114">
        <v>2</v>
      </c>
      <c r="F38" s="114"/>
      <c r="G38" s="114">
        <v>31</v>
      </c>
      <c r="H38" s="114" t="s">
        <v>176</v>
      </c>
      <c r="I38" s="114" t="s">
        <v>177</v>
      </c>
      <c r="J38" s="114" t="s">
        <v>178</v>
      </c>
      <c r="K38" s="114" t="b">
        <v>1</v>
      </c>
      <c r="L38" s="191">
        <v>2017</v>
      </c>
      <c r="M38" s="115">
        <v>0.0806</v>
      </c>
      <c r="N38" s="116">
        <v>40673</v>
      </c>
      <c r="O38" s="116">
        <v>40673</v>
      </c>
    </row>
    <row r="39" spans="1:15" ht="14.25">
      <c r="A39" s="191">
        <v>2011</v>
      </c>
      <c r="B39" s="190">
        <v>2</v>
      </c>
      <c r="C39" s="190" t="s">
        <v>167</v>
      </c>
      <c r="D39" s="114">
        <v>1421042</v>
      </c>
      <c r="E39" s="114">
        <v>2</v>
      </c>
      <c r="F39" s="114"/>
      <c r="G39" s="114">
        <v>38</v>
      </c>
      <c r="H39" s="114">
        <v>21</v>
      </c>
      <c r="I39" s="114" t="s">
        <v>179</v>
      </c>
      <c r="J39" s="114" t="s">
        <v>180</v>
      </c>
      <c r="K39" s="114" t="b">
        <v>0</v>
      </c>
      <c r="L39" s="191">
        <v>2013</v>
      </c>
      <c r="M39" s="115">
        <v>-1262188</v>
      </c>
      <c r="N39" s="116">
        <v>40673</v>
      </c>
      <c r="O39" s="116">
        <v>40673</v>
      </c>
    </row>
    <row r="40" spans="1:15" ht="14.25">
      <c r="A40" s="191">
        <v>2011</v>
      </c>
      <c r="B40" s="190">
        <v>2</v>
      </c>
      <c r="C40" s="190" t="s">
        <v>167</v>
      </c>
      <c r="D40" s="114">
        <v>1421042</v>
      </c>
      <c r="E40" s="114">
        <v>2</v>
      </c>
      <c r="F40" s="114"/>
      <c r="G40" s="114">
        <v>38</v>
      </c>
      <c r="H40" s="114">
        <v>21</v>
      </c>
      <c r="I40" s="114" t="s">
        <v>179</v>
      </c>
      <c r="J40" s="114" t="s">
        <v>180</v>
      </c>
      <c r="K40" s="114" t="b">
        <v>0</v>
      </c>
      <c r="L40" s="191">
        <v>2018</v>
      </c>
      <c r="M40" s="115">
        <v>6390000</v>
      </c>
      <c r="N40" s="116">
        <v>40673</v>
      </c>
      <c r="O40" s="116">
        <v>40673</v>
      </c>
    </row>
    <row r="41" spans="1:15" ht="14.25">
      <c r="A41" s="191">
        <v>2011</v>
      </c>
      <c r="B41" s="190">
        <v>2</v>
      </c>
      <c r="C41" s="190" t="s">
        <v>167</v>
      </c>
      <c r="D41" s="114">
        <v>1421042</v>
      </c>
      <c r="E41" s="114">
        <v>2</v>
      </c>
      <c r="F41" s="114"/>
      <c r="G41" s="114">
        <v>38</v>
      </c>
      <c r="H41" s="114">
        <v>21</v>
      </c>
      <c r="I41" s="114" t="s">
        <v>179</v>
      </c>
      <c r="J41" s="114" t="s">
        <v>180</v>
      </c>
      <c r="K41" s="114" t="b">
        <v>0</v>
      </c>
      <c r="L41" s="191">
        <v>2015</v>
      </c>
      <c r="M41" s="115">
        <v>5979257</v>
      </c>
      <c r="N41" s="116">
        <v>40673</v>
      </c>
      <c r="O41" s="116">
        <v>40673</v>
      </c>
    </row>
    <row r="42" spans="1:15" ht="14.25">
      <c r="A42" s="191">
        <v>2011</v>
      </c>
      <c r="B42" s="190">
        <v>2</v>
      </c>
      <c r="C42" s="190" t="s">
        <v>167</v>
      </c>
      <c r="D42" s="114">
        <v>1421042</v>
      </c>
      <c r="E42" s="114">
        <v>2</v>
      </c>
      <c r="F42" s="114"/>
      <c r="G42" s="114">
        <v>38</v>
      </c>
      <c r="H42" s="114">
        <v>21</v>
      </c>
      <c r="I42" s="114" t="s">
        <v>179</v>
      </c>
      <c r="J42" s="114" t="s">
        <v>180</v>
      </c>
      <c r="K42" s="114" t="b">
        <v>0</v>
      </c>
      <c r="L42" s="191">
        <v>2012</v>
      </c>
      <c r="M42" s="115">
        <v>-6624574</v>
      </c>
      <c r="N42" s="116">
        <v>40673</v>
      </c>
      <c r="O42" s="116">
        <v>40673</v>
      </c>
    </row>
    <row r="43" spans="1:15" ht="14.25">
      <c r="A43" s="191">
        <v>2011</v>
      </c>
      <c r="B43" s="190">
        <v>2</v>
      </c>
      <c r="C43" s="190" t="s">
        <v>167</v>
      </c>
      <c r="D43" s="114">
        <v>1421042</v>
      </c>
      <c r="E43" s="114">
        <v>2</v>
      </c>
      <c r="F43" s="114"/>
      <c r="G43" s="114">
        <v>38</v>
      </c>
      <c r="H43" s="114">
        <v>21</v>
      </c>
      <c r="I43" s="114" t="s">
        <v>179</v>
      </c>
      <c r="J43" s="114" t="s">
        <v>180</v>
      </c>
      <c r="K43" s="114" t="b">
        <v>0</v>
      </c>
      <c r="L43" s="191">
        <v>2014</v>
      </c>
      <c r="M43" s="115">
        <v>-1598310</v>
      </c>
      <c r="N43" s="116">
        <v>40673</v>
      </c>
      <c r="O43" s="116">
        <v>40673</v>
      </c>
    </row>
    <row r="44" spans="1:15" ht="14.25">
      <c r="A44" s="191">
        <v>2011</v>
      </c>
      <c r="B44" s="190">
        <v>2</v>
      </c>
      <c r="C44" s="190" t="s">
        <v>167</v>
      </c>
      <c r="D44" s="114">
        <v>1421042</v>
      </c>
      <c r="E44" s="114">
        <v>2</v>
      </c>
      <c r="F44" s="114"/>
      <c r="G44" s="114">
        <v>38</v>
      </c>
      <c r="H44" s="114">
        <v>21</v>
      </c>
      <c r="I44" s="114" t="s">
        <v>179</v>
      </c>
      <c r="J44" s="114" t="s">
        <v>180</v>
      </c>
      <c r="K44" s="114" t="b">
        <v>0</v>
      </c>
      <c r="L44" s="191">
        <v>2020</v>
      </c>
      <c r="M44" s="115">
        <v>10842265</v>
      </c>
      <c r="N44" s="116">
        <v>40673</v>
      </c>
      <c r="O44" s="116">
        <v>40673</v>
      </c>
    </row>
    <row r="45" spans="1:15" ht="14.25">
      <c r="A45" s="191">
        <v>2011</v>
      </c>
      <c r="B45" s="190">
        <v>2</v>
      </c>
      <c r="C45" s="190" t="s">
        <v>167</v>
      </c>
      <c r="D45" s="114">
        <v>1421042</v>
      </c>
      <c r="E45" s="114">
        <v>2</v>
      </c>
      <c r="F45" s="114"/>
      <c r="G45" s="114">
        <v>38</v>
      </c>
      <c r="H45" s="114">
        <v>21</v>
      </c>
      <c r="I45" s="114" t="s">
        <v>179</v>
      </c>
      <c r="J45" s="114" t="s">
        <v>180</v>
      </c>
      <c r="K45" s="114" t="b">
        <v>0</v>
      </c>
      <c r="L45" s="191">
        <v>2017</v>
      </c>
      <c r="M45" s="115">
        <v>6524716</v>
      </c>
      <c r="N45" s="116">
        <v>40673</v>
      </c>
      <c r="O45" s="116">
        <v>40673</v>
      </c>
    </row>
    <row r="46" spans="1:15" ht="14.25">
      <c r="A46" s="191">
        <v>2011</v>
      </c>
      <c r="B46" s="190">
        <v>2</v>
      </c>
      <c r="C46" s="190" t="s">
        <v>167</v>
      </c>
      <c r="D46" s="114">
        <v>1421042</v>
      </c>
      <c r="E46" s="114">
        <v>2</v>
      </c>
      <c r="F46" s="114"/>
      <c r="G46" s="114">
        <v>38</v>
      </c>
      <c r="H46" s="114">
        <v>21</v>
      </c>
      <c r="I46" s="114" t="s">
        <v>179</v>
      </c>
      <c r="J46" s="114" t="s">
        <v>180</v>
      </c>
      <c r="K46" s="114" t="b">
        <v>0</v>
      </c>
      <c r="L46" s="191">
        <v>2011</v>
      </c>
      <c r="M46" s="115">
        <v>-10014574</v>
      </c>
      <c r="N46" s="116">
        <v>40673</v>
      </c>
      <c r="O46" s="116">
        <v>40673</v>
      </c>
    </row>
    <row r="47" spans="1:15" ht="14.25">
      <c r="A47" s="191">
        <v>2011</v>
      </c>
      <c r="B47" s="190">
        <v>2</v>
      </c>
      <c r="C47" s="190" t="s">
        <v>167</v>
      </c>
      <c r="D47" s="114">
        <v>1421042</v>
      </c>
      <c r="E47" s="114">
        <v>2</v>
      </c>
      <c r="F47" s="114"/>
      <c r="G47" s="114">
        <v>38</v>
      </c>
      <c r="H47" s="114">
        <v>21</v>
      </c>
      <c r="I47" s="114" t="s">
        <v>179</v>
      </c>
      <c r="J47" s="114" t="s">
        <v>180</v>
      </c>
      <c r="K47" s="114" t="b">
        <v>0</v>
      </c>
      <c r="L47" s="191">
        <v>2016</v>
      </c>
      <c r="M47" s="115">
        <v>6093547</v>
      </c>
      <c r="N47" s="116">
        <v>40673</v>
      </c>
      <c r="O47" s="116">
        <v>40673</v>
      </c>
    </row>
    <row r="48" spans="1:15" ht="14.25">
      <c r="A48" s="191">
        <v>2011</v>
      </c>
      <c r="B48" s="190">
        <v>2</v>
      </c>
      <c r="C48" s="190" t="s">
        <v>167</v>
      </c>
      <c r="D48" s="114">
        <v>1421042</v>
      </c>
      <c r="E48" s="114">
        <v>2</v>
      </c>
      <c r="F48" s="114"/>
      <c r="G48" s="114">
        <v>38</v>
      </c>
      <c r="H48" s="114">
        <v>21</v>
      </c>
      <c r="I48" s="114" t="s">
        <v>179</v>
      </c>
      <c r="J48" s="114" t="s">
        <v>180</v>
      </c>
      <c r="K48" s="114" t="b">
        <v>0</v>
      </c>
      <c r="L48" s="191">
        <v>2019</v>
      </c>
      <c r="M48" s="115">
        <v>6440000</v>
      </c>
      <c r="N48" s="116">
        <v>40673</v>
      </c>
      <c r="O48" s="116">
        <v>40673</v>
      </c>
    </row>
    <row r="49" spans="1:15" ht="14.25">
      <c r="A49" s="191">
        <v>2011</v>
      </c>
      <c r="B49" s="190">
        <v>2</v>
      </c>
      <c r="C49" s="190" t="s">
        <v>167</v>
      </c>
      <c r="D49" s="114">
        <v>1421042</v>
      </c>
      <c r="E49" s="114">
        <v>2</v>
      </c>
      <c r="F49" s="114"/>
      <c r="G49" s="114">
        <v>17</v>
      </c>
      <c r="H49" s="114" t="s">
        <v>181</v>
      </c>
      <c r="I49" s="114"/>
      <c r="J49" s="114" t="s">
        <v>182</v>
      </c>
      <c r="K49" s="114" t="b">
        <v>1</v>
      </c>
      <c r="L49" s="191">
        <v>2014</v>
      </c>
      <c r="M49" s="115">
        <v>6401690</v>
      </c>
      <c r="N49" s="116">
        <v>40673</v>
      </c>
      <c r="O49" s="116">
        <v>40673</v>
      </c>
    </row>
    <row r="50" spans="1:15" ht="14.25">
      <c r="A50" s="191">
        <v>2011</v>
      </c>
      <c r="B50" s="190">
        <v>2</v>
      </c>
      <c r="C50" s="190" t="s">
        <v>167</v>
      </c>
      <c r="D50" s="114">
        <v>1421042</v>
      </c>
      <c r="E50" s="114">
        <v>2</v>
      </c>
      <c r="F50" s="114"/>
      <c r="G50" s="114">
        <v>17</v>
      </c>
      <c r="H50" s="114" t="s">
        <v>181</v>
      </c>
      <c r="I50" s="114"/>
      <c r="J50" s="114" t="s">
        <v>182</v>
      </c>
      <c r="K50" s="114" t="b">
        <v>1</v>
      </c>
      <c r="L50" s="191">
        <v>2019</v>
      </c>
      <c r="M50" s="115">
        <v>6440000</v>
      </c>
      <c r="N50" s="116">
        <v>40673</v>
      </c>
      <c r="O50" s="116">
        <v>40673</v>
      </c>
    </row>
    <row r="51" spans="1:15" ht="14.25">
      <c r="A51" s="191">
        <v>2011</v>
      </c>
      <c r="B51" s="190">
        <v>2</v>
      </c>
      <c r="C51" s="190" t="s">
        <v>167</v>
      </c>
      <c r="D51" s="114">
        <v>1421042</v>
      </c>
      <c r="E51" s="114">
        <v>2</v>
      </c>
      <c r="F51" s="114"/>
      <c r="G51" s="114">
        <v>17</v>
      </c>
      <c r="H51" s="114" t="s">
        <v>181</v>
      </c>
      <c r="I51" s="114"/>
      <c r="J51" s="114" t="s">
        <v>182</v>
      </c>
      <c r="K51" s="114" t="b">
        <v>1</v>
      </c>
      <c r="L51" s="191">
        <v>2012</v>
      </c>
      <c r="M51" s="115">
        <v>6075426</v>
      </c>
      <c r="N51" s="116">
        <v>40673</v>
      </c>
      <c r="O51" s="116">
        <v>40673</v>
      </c>
    </row>
    <row r="52" spans="1:15" ht="14.25">
      <c r="A52" s="191">
        <v>2011</v>
      </c>
      <c r="B52" s="190">
        <v>2</v>
      </c>
      <c r="C52" s="190" t="s">
        <v>167</v>
      </c>
      <c r="D52" s="114">
        <v>1421042</v>
      </c>
      <c r="E52" s="114">
        <v>2</v>
      </c>
      <c r="F52" s="114"/>
      <c r="G52" s="114">
        <v>17</v>
      </c>
      <c r="H52" s="114" t="s">
        <v>181</v>
      </c>
      <c r="I52" s="114"/>
      <c r="J52" s="114" t="s">
        <v>182</v>
      </c>
      <c r="K52" s="114" t="b">
        <v>1</v>
      </c>
      <c r="L52" s="191">
        <v>2018</v>
      </c>
      <c r="M52" s="115">
        <v>6390000</v>
      </c>
      <c r="N52" s="116">
        <v>40673</v>
      </c>
      <c r="O52" s="116">
        <v>40673</v>
      </c>
    </row>
    <row r="53" spans="1:15" ht="14.25">
      <c r="A53" s="191">
        <v>2011</v>
      </c>
      <c r="B53" s="190">
        <v>2</v>
      </c>
      <c r="C53" s="190" t="s">
        <v>167</v>
      </c>
      <c r="D53" s="114">
        <v>1421042</v>
      </c>
      <c r="E53" s="114">
        <v>2</v>
      </c>
      <c r="F53" s="114"/>
      <c r="G53" s="114">
        <v>17</v>
      </c>
      <c r="H53" s="114" t="s">
        <v>181</v>
      </c>
      <c r="I53" s="114"/>
      <c r="J53" s="114" t="s">
        <v>182</v>
      </c>
      <c r="K53" s="114" t="b">
        <v>1</v>
      </c>
      <c r="L53" s="191">
        <v>2011</v>
      </c>
      <c r="M53" s="115">
        <v>6285426</v>
      </c>
      <c r="N53" s="116">
        <v>40673</v>
      </c>
      <c r="O53" s="116">
        <v>40673</v>
      </c>
    </row>
    <row r="54" spans="1:15" ht="14.25">
      <c r="A54" s="191">
        <v>2011</v>
      </c>
      <c r="B54" s="190">
        <v>2</v>
      </c>
      <c r="C54" s="190" t="s">
        <v>167</v>
      </c>
      <c r="D54" s="114">
        <v>1421042</v>
      </c>
      <c r="E54" s="114">
        <v>2</v>
      </c>
      <c r="F54" s="114"/>
      <c r="G54" s="114">
        <v>17</v>
      </c>
      <c r="H54" s="114" t="s">
        <v>181</v>
      </c>
      <c r="I54" s="114"/>
      <c r="J54" s="114" t="s">
        <v>182</v>
      </c>
      <c r="K54" s="114" t="b">
        <v>1</v>
      </c>
      <c r="L54" s="191">
        <v>2015</v>
      </c>
      <c r="M54" s="115">
        <v>5979257</v>
      </c>
      <c r="N54" s="116">
        <v>40673</v>
      </c>
      <c r="O54" s="116">
        <v>40673</v>
      </c>
    </row>
    <row r="55" spans="1:15" ht="14.25">
      <c r="A55" s="191">
        <v>2011</v>
      </c>
      <c r="B55" s="190">
        <v>2</v>
      </c>
      <c r="C55" s="190" t="s">
        <v>167</v>
      </c>
      <c r="D55" s="114">
        <v>1421042</v>
      </c>
      <c r="E55" s="114">
        <v>2</v>
      </c>
      <c r="F55" s="114"/>
      <c r="G55" s="114">
        <v>17</v>
      </c>
      <c r="H55" s="114" t="s">
        <v>181</v>
      </c>
      <c r="I55" s="114"/>
      <c r="J55" s="114" t="s">
        <v>182</v>
      </c>
      <c r="K55" s="114" t="b">
        <v>1</v>
      </c>
      <c r="L55" s="191">
        <v>2017</v>
      </c>
      <c r="M55" s="115">
        <v>6524716</v>
      </c>
      <c r="N55" s="116">
        <v>40673</v>
      </c>
      <c r="O55" s="116">
        <v>40673</v>
      </c>
    </row>
    <row r="56" spans="1:15" ht="14.25">
      <c r="A56" s="191">
        <v>2011</v>
      </c>
      <c r="B56" s="190">
        <v>2</v>
      </c>
      <c r="C56" s="190" t="s">
        <v>167</v>
      </c>
      <c r="D56" s="114">
        <v>1421042</v>
      </c>
      <c r="E56" s="114">
        <v>2</v>
      </c>
      <c r="F56" s="114"/>
      <c r="G56" s="114">
        <v>17</v>
      </c>
      <c r="H56" s="114" t="s">
        <v>181</v>
      </c>
      <c r="I56" s="114"/>
      <c r="J56" s="114" t="s">
        <v>182</v>
      </c>
      <c r="K56" s="114" t="b">
        <v>1</v>
      </c>
      <c r="L56" s="191">
        <v>2016</v>
      </c>
      <c r="M56" s="115">
        <v>6093547</v>
      </c>
      <c r="N56" s="116">
        <v>40673</v>
      </c>
      <c r="O56" s="116">
        <v>40673</v>
      </c>
    </row>
    <row r="57" spans="1:15" ht="14.25">
      <c r="A57" s="191">
        <v>2011</v>
      </c>
      <c r="B57" s="190">
        <v>2</v>
      </c>
      <c r="C57" s="190" t="s">
        <v>167</v>
      </c>
      <c r="D57" s="114">
        <v>1421042</v>
      </c>
      <c r="E57" s="114">
        <v>2</v>
      </c>
      <c r="F57" s="114"/>
      <c r="G57" s="114">
        <v>17</v>
      </c>
      <c r="H57" s="114" t="s">
        <v>181</v>
      </c>
      <c r="I57" s="114"/>
      <c r="J57" s="114" t="s">
        <v>182</v>
      </c>
      <c r="K57" s="114" t="b">
        <v>1</v>
      </c>
      <c r="L57" s="191">
        <v>2013</v>
      </c>
      <c r="M57" s="115">
        <v>6737812</v>
      </c>
      <c r="N57" s="116">
        <v>40673</v>
      </c>
      <c r="O57" s="116">
        <v>40673</v>
      </c>
    </row>
    <row r="58" spans="1:15" ht="14.25">
      <c r="A58" s="191">
        <v>2011</v>
      </c>
      <c r="B58" s="190">
        <v>2</v>
      </c>
      <c r="C58" s="190" t="s">
        <v>167</v>
      </c>
      <c r="D58" s="114">
        <v>1421042</v>
      </c>
      <c r="E58" s="114">
        <v>2</v>
      </c>
      <c r="F58" s="114"/>
      <c r="G58" s="114">
        <v>17</v>
      </c>
      <c r="H58" s="114" t="s">
        <v>181</v>
      </c>
      <c r="I58" s="114"/>
      <c r="J58" s="114" t="s">
        <v>182</v>
      </c>
      <c r="K58" s="114" t="b">
        <v>1</v>
      </c>
      <c r="L58" s="191">
        <v>2020</v>
      </c>
      <c r="M58" s="115">
        <v>10842265</v>
      </c>
      <c r="N58" s="116">
        <v>40673</v>
      </c>
      <c r="O58" s="116">
        <v>40673</v>
      </c>
    </row>
    <row r="59" spans="1:15" ht="14.25">
      <c r="A59" s="191">
        <v>2011</v>
      </c>
      <c r="B59" s="190">
        <v>2</v>
      </c>
      <c r="C59" s="190" t="s">
        <v>167</v>
      </c>
      <c r="D59" s="114">
        <v>1421042</v>
      </c>
      <c r="E59" s="114">
        <v>2</v>
      </c>
      <c r="F59" s="114"/>
      <c r="G59" s="114">
        <v>1</v>
      </c>
      <c r="H59" s="114">
        <v>1</v>
      </c>
      <c r="I59" s="114" t="s">
        <v>183</v>
      </c>
      <c r="J59" s="114" t="s">
        <v>138</v>
      </c>
      <c r="K59" s="114" t="b">
        <v>1</v>
      </c>
      <c r="L59" s="191">
        <v>2012</v>
      </c>
      <c r="M59" s="115">
        <v>75505659</v>
      </c>
      <c r="N59" s="116">
        <v>40673</v>
      </c>
      <c r="O59" s="116">
        <v>40673</v>
      </c>
    </row>
    <row r="60" spans="1:15" ht="14.25">
      <c r="A60" s="191">
        <v>2011</v>
      </c>
      <c r="B60" s="190">
        <v>2</v>
      </c>
      <c r="C60" s="190" t="s">
        <v>167</v>
      </c>
      <c r="D60" s="114">
        <v>1421042</v>
      </c>
      <c r="E60" s="114">
        <v>2</v>
      </c>
      <c r="F60" s="114"/>
      <c r="G60" s="114">
        <v>1</v>
      </c>
      <c r="H60" s="114">
        <v>1</v>
      </c>
      <c r="I60" s="114" t="s">
        <v>183</v>
      </c>
      <c r="J60" s="114" t="s">
        <v>138</v>
      </c>
      <c r="K60" s="114" t="b">
        <v>1</v>
      </c>
      <c r="L60" s="191">
        <v>2016</v>
      </c>
      <c r="M60" s="115">
        <v>95494112</v>
      </c>
      <c r="N60" s="116">
        <v>40673</v>
      </c>
      <c r="O60" s="116">
        <v>40673</v>
      </c>
    </row>
    <row r="61" spans="1:15" ht="14.25">
      <c r="A61" s="191">
        <v>2011</v>
      </c>
      <c r="B61" s="190">
        <v>2</v>
      </c>
      <c r="C61" s="190" t="s">
        <v>167</v>
      </c>
      <c r="D61" s="114">
        <v>1421042</v>
      </c>
      <c r="E61" s="114">
        <v>2</v>
      </c>
      <c r="F61" s="114"/>
      <c r="G61" s="114">
        <v>1</v>
      </c>
      <c r="H61" s="114">
        <v>1</v>
      </c>
      <c r="I61" s="114" t="s">
        <v>183</v>
      </c>
      <c r="J61" s="114" t="s">
        <v>138</v>
      </c>
      <c r="K61" s="114" t="b">
        <v>1</v>
      </c>
      <c r="L61" s="191">
        <v>2019</v>
      </c>
      <c r="M61" s="115">
        <v>113061489</v>
      </c>
      <c r="N61" s="116">
        <v>40673</v>
      </c>
      <c r="O61" s="116">
        <v>40673</v>
      </c>
    </row>
    <row r="62" spans="1:15" ht="14.25">
      <c r="A62" s="191">
        <v>2011</v>
      </c>
      <c r="B62" s="190">
        <v>2</v>
      </c>
      <c r="C62" s="190" t="s">
        <v>167</v>
      </c>
      <c r="D62" s="114">
        <v>1421042</v>
      </c>
      <c r="E62" s="114">
        <v>2</v>
      </c>
      <c r="F62" s="114"/>
      <c r="G62" s="114">
        <v>1</v>
      </c>
      <c r="H62" s="114">
        <v>1</v>
      </c>
      <c r="I62" s="114" t="s">
        <v>183</v>
      </c>
      <c r="J62" s="114" t="s">
        <v>138</v>
      </c>
      <c r="K62" s="114" t="b">
        <v>1</v>
      </c>
      <c r="L62" s="191">
        <v>2020</v>
      </c>
      <c r="M62" s="115">
        <v>116815684</v>
      </c>
      <c r="N62" s="116">
        <v>40673</v>
      </c>
      <c r="O62" s="116">
        <v>40673</v>
      </c>
    </row>
    <row r="63" spans="1:15" ht="14.25">
      <c r="A63" s="191">
        <v>2011</v>
      </c>
      <c r="B63" s="190">
        <v>2</v>
      </c>
      <c r="C63" s="190" t="s">
        <v>167</v>
      </c>
      <c r="D63" s="114">
        <v>1421042</v>
      </c>
      <c r="E63" s="114">
        <v>2</v>
      </c>
      <c r="F63" s="114"/>
      <c r="G63" s="114">
        <v>1</v>
      </c>
      <c r="H63" s="114">
        <v>1</v>
      </c>
      <c r="I63" s="114" t="s">
        <v>183</v>
      </c>
      <c r="J63" s="114" t="s">
        <v>138</v>
      </c>
      <c r="K63" s="114" t="b">
        <v>1</v>
      </c>
      <c r="L63" s="191">
        <v>2018</v>
      </c>
      <c r="M63" s="115">
        <v>106598109</v>
      </c>
      <c r="N63" s="116">
        <v>40673</v>
      </c>
      <c r="O63" s="116">
        <v>40673</v>
      </c>
    </row>
    <row r="64" spans="1:15" ht="14.25">
      <c r="A64" s="191">
        <v>2011</v>
      </c>
      <c r="B64" s="190">
        <v>2</v>
      </c>
      <c r="C64" s="190" t="s">
        <v>167</v>
      </c>
      <c r="D64" s="114">
        <v>1421042</v>
      </c>
      <c r="E64" s="114">
        <v>2</v>
      </c>
      <c r="F64" s="114"/>
      <c r="G64" s="114">
        <v>1</v>
      </c>
      <c r="H64" s="114">
        <v>1</v>
      </c>
      <c r="I64" s="114" t="s">
        <v>183</v>
      </c>
      <c r="J64" s="114" t="s">
        <v>138</v>
      </c>
      <c r="K64" s="114" t="b">
        <v>1</v>
      </c>
      <c r="L64" s="191">
        <v>2015</v>
      </c>
      <c r="M64" s="115">
        <v>91523349</v>
      </c>
      <c r="N64" s="116">
        <v>40673</v>
      </c>
      <c r="O64" s="116">
        <v>40673</v>
      </c>
    </row>
    <row r="65" spans="1:15" ht="14.25">
      <c r="A65" s="191">
        <v>2011</v>
      </c>
      <c r="B65" s="190">
        <v>2</v>
      </c>
      <c r="C65" s="190" t="s">
        <v>167</v>
      </c>
      <c r="D65" s="114">
        <v>1421042</v>
      </c>
      <c r="E65" s="114">
        <v>2</v>
      </c>
      <c r="F65" s="114"/>
      <c r="G65" s="114">
        <v>1</v>
      </c>
      <c r="H65" s="114">
        <v>1</v>
      </c>
      <c r="I65" s="114" t="s">
        <v>183</v>
      </c>
      <c r="J65" s="114" t="s">
        <v>138</v>
      </c>
      <c r="K65" s="114" t="b">
        <v>1</v>
      </c>
      <c r="L65" s="191">
        <v>2017</v>
      </c>
      <c r="M65" s="115">
        <v>100566656</v>
      </c>
      <c r="N65" s="116">
        <v>40673</v>
      </c>
      <c r="O65" s="116">
        <v>40673</v>
      </c>
    </row>
    <row r="66" spans="1:15" ht="14.25">
      <c r="A66" s="191">
        <v>2011</v>
      </c>
      <c r="B66" s="190">
        <v>2</v>
      </c>
      <c r="C66" s="190" t="s">
        <v>167</v>
      </c>
      <c r="D66" s="114">
        <v>1421042</v>
      </c>
      <c r="E66" s="114">
        <v>2</v>
      </c>
      <c r="F66" s="114"/>
      <c r="G66" s="114">
        <v>1</v>
      </c>
      <c r="H66" s="114">
        <v>1</v>
      </c>
      <c r="I66" s="114" t="s">
        <v>183</v>
      </c>
      <c r="J66" s="114" t="s">
        <v>138</v>
      </c>
      <c r="K66" s="114" t="b">
        <v>1</v>
      </c>
      <c r="L66" s="191">
        <v>2013</v>
      </c>
      <c r="M66" s="115">
        <v>81235289</v>
      </c>
      <c r="N66" s="116">
        <v>40673</v>
      </c>
      <c r="O66" s="116">
        <v>40673</v>
      </c>
    </row>
    <row r="67" spans="1:15" ht="14.25">
      <c r="A67" s="191">
        <v>2011</v>
      </c>
      <c r="B67" s="190">
        <v>2</v>
      </c>
      <c r="C67" s="190" t="s">
        <v>167</v>
      </c>
      <c r="D67" s="114">
        <v>1421042</v>
      </c>
      <c r="E67" s="114">
        <v>2</v>
      </c>
      <c r="F67" s="114"/>
      <c r="G67" s="114">
        <v>1</v>
      </c>
      <c r="H67" s="114">
        <v>1</v>
      </c>
      <c r="I67" s="114" t="s">
        <v>183</v>
      </c>
      <c r="J67" s="114" t="s">
        <v>138</v>
      </c>
      <c r="K67" s="114" t="b">
        <v>1</v>
      </c>
      <c r="L67" s="191">
        <v>2011</v>
      </c>
      <c r="M67" s="115">
        <v>78881523.79</v>
      </c>
      <c r="N67" s="116">
        <v>40673</v>
      </c>
      <c r="O67" s="116">
        <v>40673</v>
      </c>
    </row>
    <row r="68" spans="1:15" ht="14.25">
      <c r="A68" s="191">
        <v>2011</v>
      </c>
      <c r="B68" s="190">
        <v>2</v>
      </c>
      <c r="C68" s="190" t="s">
        <v>167</v>
      </c>
      <c r="D68" s="114">
        <v>1421042</v>
      </c>
      <c r="E68" s="114">
        <v>2</v>
      </c>
      <c r="F68" s="114"/>
      <c r="G68" s="114">
        <v>1</v>
      </c>
      <c r="H68" s="114">
        <v>1</v>
      </c>
      <c r="I68" s="114" t="s">
        <v>183</v>
      </c>
      <c r="J68" s="114" t="s">
        <v>138</v>
      </c>
      <c r="K68" s="114" t="b">
        <v>1</v>
      </c>
      <c r="L68" s="191">
        <v>2014</v>
      </c>
      <c r="M68" s="115">
        <v>86042639</v>
      </c>
      <c r="N68" s="116">
        <v>40673</v>
      </c>
      <c r="O68" s="116">
        <v>40673</v>
      </c>
    </row>
    <row r="69" spans="1:15" ht="14.25">
      <c r="A69" s="191">
        <v>2011</v>
      </c>
      <c r="B69" s="190">
        <v>2</v>
      </c>
      <c r="C69" s="190" t="s">
        <v>167</v>
      </c>
      <c r="D69" s="114">
        <v>1421042</v>
      </c>
      <c r="E69" s="114">
        <v>2</v>
      </c>
      <c r="F69" s="114"/>
      <c r="G69" s="114">
        <v>12</v>
      </c>
      <c r="H69" s="114">
        <v>4</v>
      </c>
      <c r="I69" s="114"/>
      <c r="J69" s="114" t="s">
        <v>18</v>
      </c>
      <c r="K69" s="114" t="b">
        <v>0</v>
      </c>
      <c r="L69" s="191">
        <v>2011</v>
      </c>
      <c r="M69" s="115">
        <v>7574056.26</v>
      </c>
      <c r="N69" s="116">
        <v>40673</v>
      </c>
      <c r="O69" s="116">
        <v>40673</v>
      </c>
    </row>
    <row r="70" spans="1:15" ht="14.25">
      <c r="A70" s="191">
        <v>2011</v>
      </c>
      <c r="B70" s="190">
        <v>2</v>
      </c>
      <c r="C70" s="190" t="s">
        <v>167</v>
      </c>
      <c r="D70" s="114">
        <v>1421042</v>
      </c>
      <c r="E70" s="114">
        <v>2</v>
      </c>
      <c r="F70" s="114"/>
      <c r="G70" s="114">
        <v>37</v>
      </c>
      <c r="H70" s="114">
        <v>20</v>
      </c>
      <c r="I70" s="114" t="s">
        <v>184</v>
      </c>
      <c r="J70" s="114" t="s">
        <v>185</v>
      </c>
      <c r="K70" s="114" t="b">
        <v>0</v>
      </c>
      <c r="L70" s="191">
        <v>2017</v>
      </c>
      <c r="M70" s="115">
        <v>94041940</v>
      </c>
      <c r="N70" s="116">
        <v>40673</v>
      </c>
      <c r="O70" s="116">
        <v>40673</v>
      </c>
    </row>
    <row r="71" spans="1:15" ht="14.25">
      <c r="A71" s="191">
        <v>2011</v>
      </c>
      <c r="B71" s="190">
        <v>2</v>
      </c>
      <c r="C71" s="190" t="s">
        <v>167</v>
      </c>
      <c r="D71" s="114">
        <v>1421042</v>
      </c>
      <c r="E71" s="114">
        <v>2</v>
      </c>
      <c r="F71" s="114"/>
      <c r="G71" s="114">
        <v>37</v>
      </c>
      <c r="H71" s="114">
        <v>20</v>
      </c>
      <c r="I71" s="114" t="s">
        <v>184</v>
      </c>
      <c r="J71" s="114" t="s">
        <v>185</v>
      </c>
      <c r="K71" s="114" t="b">
        <v>0</v>
      </c>
      <c r="L71" s="191">
        <v>2020</v>
      </c>
      <c r="M71" s="115">
        <v>105973419</v>
      </c>
      <c r="N71" s="116">
        <v>40673</v>
      </c>
      <c r="O71" s="116">
        <v>40673</v>
      </c>
    </row>
    <row r="72" spans="1:15" ht="14.25">
      <c r="A72" s="191">
        <v>2011</v>
      </c>
      <c r="B72" s="190">
        <v>2</v>
      </c>
      <c r="C72" s="190" t="s">
        <v>167</v>
      </c>
      <c r="D72" s="114">
        <v>1421042</v>
      </c>
      <c r="E72" s="114">
        <v>2</v>
      </c>
      <c r="F72" s="114"/>
      <c r="G72" s="114">
        <v>37</v>
      </c>
      <c r="H72" s="114">
        <v>20</v>
      </c>
      <c r="I72" s="114" t="s">
        <v>184</v>
      </c>
      <c r="J72" s="114" t="s">
        <v>185</v>
      </c>
      <c r="K72" s="114" t="b">
        <v>0</v>
      </c>
      <c r="L72" s="191">
        <v>2019</v>
      </c>
      <c r="M72" s="115">
        <v>106621489</v>
      </c>
      <c r="N72" s="116">
        <v>40673</v>
      </c>
      <c r="O72" s="116">
        <v>40673</v>
      </c>
    </row>
    <row r="73" spans="1:15" ht="14.25">
      <c r="A73" s="191">
        <v>2011</v>
      </c>
      <c r="B73" s="190">
        <v>2</v>
      </c>
      <c r="C73" s="190" t="s">
        <v>167</v>
      </c>
      <c r="D73" s="114">
        <v>1421042</v>
      </c>
      <c r="E73" s="114">
        <v>2</v>
      </c>
      <c r="F73" s="114"/>
      <c r="G73" s="114">
        <v>37</v>
      </c>
      <c r="H73" s="114">
        <v>20</v>
      </c>
      <c r="I73" s="114" t="s">
        <v>184</v>
      </c>
      <c r="J73" s="114" t="s">
        <v>185</v>
      </c>
      <c r="K73" s="114" t="b">
        <v>0</v>
      </c>
      <c r="L73" s="191">
        <v>2013</v>
      </c>
      <c r="M73" s="115">
        <v>82497477</v>
      </c>
      <c r="N73" s="116">
        <v>40673</v>
      </c>
      <c r="O73" s="116">
        <v>40673</v>
      </c>
    </row>
    <row r="74" spans="1:15" ht="14.25">
      <c r="A74" s="191">
        <v>2011</v>
      </c>
      <c r="B74" s="190">
        <v>2</v>
      </c>
      <c r="C74" s="190" t="s">
        <v>167</v>
      </c>
      <c r="D74" s="114">
        <v>1421042</v>
      </c>
      <c r="E74" s="114">
        <v>2</v>
      </c>
      <c r="F74" s="114"/>
      <c r="G74" s="114">
        <v>37</v>
      </c>
      <c r="H74" s="114">
        <v>20</v>
      </c>
      <c r="I74" s="114" t="s">
        <v>184</v>
      </c>
      <c r="J74" s="114" t="s">
        <v>185</v>
      </c>
      <c r="K74" s="114" t="b">
        <v>0</v>
      </c>
      <c r="L74" s="191">
        <v>2012</v>
      </c>
      <c r="M74" s="115">
        <v>82130233</v>
      </c>
      <c r="N74" s="116">
        <v>40673</v>
      </c>
      <c r="O74" s="116">
        <v>40673</v>
      </c>
    </row>
    <row r="75" spans="1:15" ht="14.25">
      <c r="A75" s="191">
        <v>2011</v>
      </c>
      <c r="B75" s="190">
        <v>2</v>
      </c>
      <c r="C75" s="190" t="s">
        <v>167</v>
      </c>
      <c r="D75" s="114">
        <v>1421042</v>
      </c>
      <c r="E75" s="114">
        <v>2</v>
      </c>
      <c r="F75" s="114"/>
      <c r="G75" s="114">
        <v>37</v>
      </c>
      <c r="H75" s="114">
        <v>20</v>
      </c>
      <c r="I75" s="114" t="s">
        <v>184</v>
      </c>
      <c r="J75" s="114" t="s">
        <v>185</v>
      </c>
      <c r="K75" s="114" t="b">
        <v>0</v>
      </c>
      <c r="L75" s="191">
        <v>2015</v>
      </c>
      <c r="M75" s="115">
        <v>85544092</v>
      </c>
      <c r="N75" s="116">
        <v>40673</v>
      </c>
      <c r="O75" s="116">
        <v>40673</v>
      </c>
    </row>
    <row r="76" spans="1:15" ht="14.25">
      <c r="A76" s="191">
        <v>2011</v>
      </c>
      <c r="B76" s="190">
        <v>2</v>
      </c>
      <c r="C76" s="190" t="s">
        <v>167</v>
      </c>
      <c r="D76" s="114">
        <v>1421042</v>
      </c>
      <c r="E76" s="114">
        <v>2</v>
      </c>
      <c r="F76" s="114"/>
      <c r="G76" s="114">
        <v>37</v>
      </c>
      <c r="H76" s="114">
        <v>20</v>
      </c>
      <c r="I76" s="114" t="s">
        <v>184</v>
      </c>
      <c r="J76" s="114" t="s">
        <v>185</v>
      </c>
      <c r="K76" s="114" t="b">
        <v>0</v>
      </c>
      <c r="L76" s="191">
        <v>2011</v>
      </c>
      <c r="M76" s="115">
        <v>88896097.79</v>
      </c>
      <c r="N76" s="116">
        <v>40673</v>
      </c>
      <c r="O76" s="116">
        <v>40673</v>
      </c>
    </row>
    <row r="77" spans="1:15" ht="14.25">
      <c r="A77" s="191">
        <v>2011</v>
      </c>
      <c r="B77" s="190">
        <v>2</v>
      </c>
      <c r="C77" s="190" t="s">
        <v>167</v>
      </c>
      <c r="D77" s="114">
        <v>1421042</v>
      </c>
      <c r="E77" s="114">
        <v>2</v>
      </c>
      <c r="F77" s="114"/>
      <c r="G77" s="114">
        <v>37</v>
      </c>
      <c r="H77" s="114">
        <v>20</v>
      </c>
      <c r="I77" s="114" t="s">
        <v>184</v>
      </c>
      <c r="J77" s="114" t="s">
        <v>185</v>
      </c>
      <c r="K77" s="114" t="b">
        <v>0</v>
      </c>
      <c r="L77" s="191">
        <v>2016</v>
      </c>
      <c r="M77" s="115">
        <v>89400565</v>
      </c>
      <c r="N77" s="116">
        <v>40673</v>
      </c>
      <c r="O77" s="116">
        <v>40673</v>
      </c>
    </row>
    <row r="78" spans="1:15" ht="14.25">
      <c r="A78" s="191">
        <v>2011</v>
      </c>
      <c r="B78" s="190">
        <v>2</v>
      </c>
      <c r="C78" s="190" t="s">
        <v>167</v>
      </c>
      <c r="D78" s="114">
        <v>1421042</v>
      </c>
      <c r="E78" s="114">
        <v>2</v>
      </c>
      <c r="F78" s="114"/>
      <c r="G78" s="114">
        <v>37</v>
      </c>
      <c r="H78" s="114">
        <v>20</v>
      </c>
      <c r="I78" s="114" t="s">
        <v>184</v>
      </c>
      <c r="J78" s="114" t="s">
        <v>185</v>
      </c>
      <c r="K78" s="114" t="b">
        <v>0</v>
      </c>
      <c r="L78" s="191">
        <v>2014</v>
      </c>
      <c r="M78" s="115">
        <v>87640949</v>
      </c>
      <c r="N78" s="116">
        <v>40673</v>
      </c>
      <c r="O78" s="116">
        <v>40673</v>
      </c>
    </row>
    <row r="79" spans="1:15" ht="14.25">
      <c r="A79" s="191">
        <v>2011</v>
      </c>
      <c r="B79" s="190">
        <v>2</v>
      </c>
      <c r="C79" s="190" t="s">
        <v>167</v>
      </c>
      <c r="D79" s="114">
        <v>1421042</v>
      </c>
      <c r="E79" s="114">
        <v>2</v>
      </c>
      <c r="F79" s="114"/>
      <c r="G79" s="114">
        <v>37</v>
      </c>
      <c r="H79" s="114">
        <v>20</v>
      </c>
      <c r="I79" s="114" t="s">
        <v>184</v>
      </c>
      <c r="J79" s="114" t="s">
        <v>185</v>
      </c>
      <c r="K79" s="114" t="b">
        <v>0</v>
      </c>
      <c r="L79" s="191">
        <v>2018</v>
      </c>
      <c r="M79" s="115">
        <v>100208109</v>
      </c>
      <c r="N79" s="116">
        <v>40673</v>
      </c>
      <c r="O79" s="116">
        <v>40673</v>
      </c>
    </row>
    <row r="80" spans="1:15" ht="14.25">
      <c r="A80" s="191">
        <v>2011</v>
      </c>
      <c r="B80" s="190">
        <v>2</v>
      </c>
      <c r="C80" s="190" t="s">
        <v>167</v>
      </c>
      <c r="D80" s="114">
        <v>1421042</v>
      </c>
      <c r="E80" s="114">
        <v>2</v>
      </c>
      <c r="F80" s="114"/>
      <c r="G80" s="114">
        <v>35</v>
      </c>
      <c r="H80" s="114">
        <v>18</v>
      </c>
      <c r="I80" s="114" t="s">
        <v>186</v>
      </c>
      <c r="J80" s="114" t="s">
        <v>187</v>
      </c>
      <c r="K80" s="114" t="b">
        <v>0</v>
      </c>
      <c r="L80" s="191">
        <v>2017</v>
      </c>
      <c r="M80" s="115">
        <v>0.2312</v>
      </c>
      <c r="N80" s="116">
        <v>40673</v>
      </c>
      <c r="O80" s="116">
        <v>40673</v>
      </c>
    </row>
    <row r="81" spans="1:15" ht="14.25">
      <c r="A81" s="191">
        <v>2011</v>
      </c>
      <c r="B81" s="190">
        <v>2</v>
      </c>
      <c r="C81" s="190" t="s">
        <v>167</v>
      </c>
      <c r="D81" s="114">
        <v>1421042</v>
      </c>
      <c r="E81" s="114">
        <v>2</v>
      </c>
      <c r="F81" s="114"/>
      <c r="G81" s="114">
        <v>35</v>
      </c>
      <c r="H81" s="114">
        <v>18</v>
      </c>
      <c r="I81" s="114" t="s">
        <v>186</v>
      </c>
      <c r="J81" s="114" t="s">
        <v>187</v>
      </c>
      <c r="K81" s="114" t="b">
        <v>0</v>
      </c>
      <c r="L81" s="191">
        <v>2013</v>
      </c>
      <c r="M81" s="115">
        <v>0.4955</v>
      </c>
      <c r="N81" s="116">
        <v>40673</v>
      </c>
      <c r="O81" s="116">
        <v>40673</v>
      </c>
    </row>
    <row r="82" spans="1:15" ht="14.25">
      <c r="A82" s="191">
        <v>2011</v>
      </c>
      <c r="B82" s="190">
        <v>2</v>
      </c>
      <c r="C82" s="190" t="s">
        <v>167</v>
      </c>
      <c r="D82" s="114">
        <v>1421042</v>
      </c>
      <c r="E82" s="114">
        <v>2</v>
      </c>
      <c r="F82" s="114"/>
      <c r="G82" s="114">
        <v>35</v>
      </c>
      <c r="H82" s="114">
        <v>18</v>
      </c>
      <c r="I82" s="114" t="s">
        <v>186</v>
      </c>
      <c r="J82" s="114" t="s">
        <v>187</v>
      </c>
      <c r="K82" s="114" t="b">
        <v>0</v>
      </c>
      <c r="L82" s="191">
        <v>2018</v>
      </c>
      <c r="M82" s="115">
        <v>0.1582</v>
      </c>
      <c r="N82" s="116">
        <v>40673</v>
      </c>
      <c r="O82" s="116">
        <v>40673</v>
      </c>
    </row>
    <row r="83" spans="1:15" ht="14.25">
      <c r="A83" s="191">
        <v>2011</v>
      </c>
      <c r="B83" s="190">
        <v>2</v>
      </c>
      <c r="C83" s="190" t="s">
        <v>167</v>
      </c>
      <c r="D83" s="114">
        <v>1421042</v>
      </c>
      <c r="E83" s="114">
        <v>2</v>
      </c>
      <c r="F83" s="114"/>
      <c r="G83" s="114">
        <v>35</v>
      </c>
      <c r="H83" s="114">
        <v>18</v>
      </c>
      <c r="I83" s="114" t="s">
        <v>186</v>
      </c>
      <c r="J83" s="114" t="s">
        <v>187</v>
      </c>
      <c r="K83" s="114" t="b">
        <v>0</v>
      </c>
      <c r="L83" s="191">
        <v>2011</v>
      </c>
      <c r="M83" s="115">
        <v>0.4103</v>
      </c>
      <c r="N83" s="116">
        <v>40673</v>
      </c>
      <c r="O83" s="116">
        <v>40673</v>
      </c>
    </row>
    <row r="84" spans="1:15" ht="14.25">
      <c r="A84" s="191">
        <v>2011</v>
      </c>
      <c r="B84" s="190">
        <v>2</v>
      </c>
      <c r="C84" s="190" t="s">
        <v>167</v>
      </c>
      <c r="D84" s="114">
        <v>1421042</v>
      </c>
      <c r="E84" s="114">
        <v>2</v>
      </c>
      <c r="F84" s="114"/>
      <c r="G84" s="114">
        <v>35</v>
      </c>
      <c r="H84" s="114">
        <v>18</v>
      </c>
      <c r="I84" s="114" t="s">
        <v>186</v>
      </c>
      <c r="J84" s="114" t="s">
        <v>187</v>
      </c>
      <c r="K84" s="114" t="b">
        <v>0</v>
      </c>
      <c r="L84" s="191">
        <v>2016</v>
      </c>
      <c r="M84" s="115">
        <v>0.3118</v>
      </c>
      <c r="N84" s="116">
        <v>40673</v>
      </c>
      <c r="O84" s="116">
        <v>40673</v>
      </c>
    </row>
    <row r="85" spans="1:15" ht="14.25">
      <c r="A85" s="191">
        <v>2011</v>
      </c>
      <c r="B85" s="190">
        <v>2</v>
      </c>
      <c r="C85" s="190" t="s">
        <v>167</v>
      </c>
      <c r="D85" s="114">
        <v>1421042</v>
      </c>
      <c r="E85" s="114">
        <v>2</v>
      </c>
      <c r="F85" s="114"/>
      <c r="G85" s="114">
        <v>35</v>
      </c>
      <c r="H85" s="114">
        <v>18</v>
      </c>
      <c r="I85" s="114" t="s">
        <v>186</v>
      </c>
      <c r="J85" s="114" t="s">
        <v>187</v>
      </c>
      <c r="K85" s="114" t="b">
        <v>0</v>
      </c>
      <c r="L85" s="191">
        <v>2015</v>
      </c>
      <c r="M85" s="115">
        <v>0.3919</v>
      </c>
      <c r="N85" s="116">
        <v>40673</v>
      </c>
      <c r="O85" s="116">
        <v>40673</v>
      </c>
    </row>
    <row r="86" spans="1:15" ht="14.25">
      <c r="A86" s="191">
        <v>2011</v>
      </c>
      <c r="B86" s="190">
        <v>2</v>
      </c>
      <c r="C86" s="190" t="s">
        <v>167</v>
      </c>
      <c r="D86" s="114">
        <v>1421042</v>
      </c>
      <c r="E86" s="114">
        <v>2</v>
      </c>
      <c r="F86" s="114"/>
      <c r="G86" s="114">
        <v>35</v>
      </c>
      <c r="H86" s="114">
        <v>18</v>
      </c>
      <c r="I86" s="114" t="s">
        <v>186</v>
      </c>
      <c r="J86" s="114" t="s">
        <v>187</v>
      </c>
      <c r="K86" s="114" t="b">
        <v>0</v>
      </c>
      <c r="L86" s="191">
        <v>2019</v>
      </c>
      <c r="M86" s="115">
        <v>0.0922</v>
      </c>
      <c r="N86" s="116">
        <v>40673</v>
      </c>
      <c r="O86" s="116">
        <v>40673</v>
      </c>
    </row>
    <row r="87" spans="1:15" ht="14.25">
      <c r="A87" s="191">
        <v>2011</v>
      </c>
      <c r="B87" s="190">
        <v>2</v>
      </c>
      <c r="C87" s="190" t="s">
        <v>167</v>
      </c>
      <c r="D87" s="114">
        <v>1421042</v>
      </c>
      <c r="E87" s="114">
        <v>2</v>
      </c>
      <c r="F87" s="114"/>
      <c r="G87" s="114">
        <v>35</v>
      </c>
      <c r="H87" s="114">
        <v>18</v>
      </c>
      <c r="I87" s="114" t="s">
        <v>186</v>
      </c>
      <c r="J87" s="114" t="s">
        <v>187</v>
      </c>
      <c r="K87" s="114" t="b">
        <v>0</v>
      </c>
      <c r="L87" s="191">
        <v>2012</v>
      </c>
      <c r="M87" s="115">
        <v>0.5164</v>
      </c>
      <c r="N87" s="116">
        <v>40673</v>
      </c>
      <c r="O87" s="116">
        <v>40673</v>
      </c>
    </row>
    <row r="88" spans="1:15" ht="14.25">
      <c r="A88" s="191">
        <v>2011</v>
      </c>
      <c r="B88" s="190">
        <v>2</v>
      </c>
      <c r="C88" s="190" t="s">
        <v>167</v>
      </c>
      <c r="D88" s="114">
        <v>1421042</v>
      </c>
      <c r="E88" s="114">
        <v>2</v>
      </c>
      <c r="F88" s="114"/>
      <c r="G88" s="114">
        <v>35</v>
      </c>
      <c r="H88" s="114">
        <v>18</v>
      </c>
      <c r="I88" s="114" t="s">
        <v>186</v>
      </c>
      <c r="J88" s="114" t="s">
        <v>187</v>
      </c>
      <c r="K88" s="114" t="b">
        <v>0</v>
      </c>
      <c r="L88" s="191">
        <v>2014</v>
      </c>
      <c r="M88" s="115">
        <v>0.4864</v>
      </c>
      <c r="N88" s="116">
        <v>40673</v>
      </c>
      <c r="O88" s="116">
        <v>40673</v>
      </c>
    </row>
    <row r="89" spans="1:15" ht="14.25">
      <c r="A89" s="191">
        <v>2011</v>
      </c>
      <c r="B89" s="190">
        <v>2</v>
      </c>
      <c r="C89" s="190" t="s">
        <v>167</v>
      </c>
      <c r="D89" s="114">
        <v>1421042</v>
      </c>
      <c r="E89" s="114">
        <v>2</v>
      </c>
      <c r="F89" s="114"/>
      <c r="G89" s="114">
        <v>7</v>
      </c>
      <c r="H89" s="114" t="s">
        <v>188</v>
      </c>
      <c r="I89" s="114"/>
      <c r="J89" s="114" t="s">
        <v>189</v>
      </c>
      <c r="K89" s="114" t="b">
        <v>0</v>
      </c>
      <c r="L89" s="191">
        <v>2019</v>
      </c>
      <c r="M89" s="115">
        <v>11300900</v>
      </c>
      <c r="N89" s="116">
        <v>40673</v>
      </c>
      <c r="O89" s="116">
        <v>40673</v>
      </c>
    </row>
    <row r="90" spans="1:15" ht="14.25">
      <c r="A90" s="191">
        <v>2011</v>
      </c>
      <c r="B90" s="190">
        <v>2</v>
      </c>
      <c r="C90" s="190" t="s">
        <v>167</v>
      </c>
      <c r="D90" s="114">
        <v>1421042</v>
      </c>
      <c r="E90" s="114">
        <v>2</v>
      </c>
      <c r="F90" s="114"/>
      <c r="G90" s="114">
        <v>7</v>
      </c>
      <c r="H90" s="114" t="s">
        <v>188</v>
      </c>
      <c r="I90" s="114"/>
      <c r="J90" s="114" t="s">
        <v>189</v>
      </c>
      <c r="K90" s="114" t="b">
        <v>0</v>
      </c>
      <c r="L90" s="191">
        <v>2013</v>
      </c>
      <c r="M90" s="115">
        <v>7966800</v>
      </c>
      <c r="N90" s="116">
        <v>40673</v>
      </c>
      <c r="O90" s="116">
        <v>40673</v>
      </c>
    </row>
    <row r="91" spans="1:15" ht="14.25">
      <c r="A91" s="191">
        <v>2011</v>
      </c>
      <c r="B91" s="190">
        <v>2</v>
      </c>
      <c r="C91" s="190" t="s">
        <v>167</v>
      </c>
      <c r="D91" s="114">
        <v>1421042</v>
      </c>
      <c r="E91" s="114">
        <v>2</v>
      </c>
      <c r="F91" s="114"/>
      <c r="G91" s="114">
        <v>7</v>
      </c>
      <c r="H91" s="114" t="s">
        <v>188</v>
      </c>
      <c r="I91" s="114"/>
      <c r="J91" s="114" t="s">
        <v>189</v>
      </c>
      <c r="K91" s="114" t="b">
        <v>0</v>
      </c>
      <c r="L91" s="191">
        <v>2018</v>
      </c>
      <c r="M91" s="115">
        <v>10661300</v>
      </c>
      <c r="N91" s="116">
        <v>40673</v>
      </c>
      <c r="O91" s="116">
        <v>40673</v>
      </c>
    </row>
    <row r="92" spans="1:15" ht="14.25">
      <c r="A92" s="191">
        <v>2011</v>
      </c>
      <c r="B92" s="190">
        <v>2</v>
      </c>
      <c r="C92" s="190" t="s">
        <v>167</v>
      </c>
      <c r="D92" s="114">
        <v>1421042</v>
      </c>
      <c r="E92" s="114">
        <v>2</v>
      </c>
      <c r="F92" s="114"/>
      <c r="G92" s="114">
        <v>7</v>
      </c>
      <c r="H92" s="114" t="s">
        <v>188</v>
      </c>
      <c r="I92" s="114"/>
      <c r="J92" s="114" t="s">
        <v>189</v>
      </c>
      <c r="K92" s="114" t="b">
        <v>0</v>
      </c>
      <c r="L92" s="191">
        <v>2016</v>
      </c>
      <c r="M92" s="115">
        <v>9488500</v>
      </c>
      <c r="N92" s="116">
        <v>40673</v>
      </c>
      <c r="O92" s="116">
        <v>40673</v>
      </c>
    </row>
    <row r="93" spans="1:15" ht="14.25">
      <c r="A93" s="191">
        <v>2011</v>
      </c>
      <c r="B93" s="190">
        <v>2</v>
      </c>
      <c r="C93" s="190" t="s">
        <v>167</v>
      </c>
      <c r="D93" s="114">
        <v>1421042</v>
      </c>
      <c r="E93" s="114">
        <v>2</v>
      </c>
      <c r="F93" s="114"/>
      <c r="G93" s="114">
        <v>7</v>
      </c>
      <c r="H93" s="114" t="s">
        <v>188</v>
      </c>
      <c r="I93" s="114"/>
      <c r="J93" s="114" t="s">
        <v>189</v>
      </c>
      <c r="K93" s="114" t="b">
        <v>0</v>
      </c>
      <c r="L93" s="191">
        <v>2020</v>
      </c>
      <c r="M93" s="115">
        <v>11979050</v>
      </c>
      <c r="N93" s="116">
        <v>40673</v>
      </c>
      <c r="O93" s="116">
        <v>40673</v>
      </c>
    </row>
    <row r="94" spans="1:15" ht="14.25">
      <c r="A94" s="191">
        <v>2011</v>
      </c>
      <c r="B94" s="190">
        <v>2</v>
      </c>
      <c r="C94" s="190" t="s">
        <v>167</v>
      </c>
      <c r="D94" s="114">
        <v>1421042</v>
      </c>
      <c r="E94" s="114">
        <v>2</v>
      </c>
      <c r="F94" s="114"/>
      <c r="G94" s="114">
        <v>7</v>
      </c>
      <c r="H94" s="114" t="s">
        <v>188</v>
      </c>
      <c r="I94" s="114"/>
      <c r="J94" s="114" t="s">
        <v>189</v>
      </c>
      <c r="K94" s="114" t="b">
        <v>0</v>
      </c>
      <c r="L94" s="191">
        <v>2011</v>
      </c>
      <c r="M94" s="115">
        <v>7249174</v>
      </c>
      <c r="N94" s="116">
        <v>40673</v>
      </c>
      <c r="O94" s="116">
        <v>40673</v>
      </c>
    </row>
    <row r="95" spans="1:15" ht="14.25">
      <c r="A95" s="191">
        <v>2011</v>
      </c>
      <c r="B95" s="190">
        <v>2</v>
      </c>
      <c r="C95" s="190" t="s">
        <v>167</v>
      </c>
      <c r="D95" s="114">
        <v>1421042</v>
      </c>
      <c r="E95" s="114">
        <v>2</v>
      </c>
      <c r="F95" s="114"/>
      <c r="G95" s="114">
        <v>7</v>
      </c>
      <c r="H95" s="114" t="s">
        <v>188</v>
      </c>
      <c r="I95" s="114"/>
      <c r="J95" s="114" t="s">
        <v>189</v>
      </c>
      <c r="K95" s="114" t="b">
        <v>0</v>
      </c>
      <c r="L95" s="191">
        <v>2017</v>
      </c>
      <c r="M95" s="115">
        <v>10057700</v>
      </c>
      <c r="N95" s="116">
        <v>40673</v>
      </c>
      <c r="O95" s="116">
        <v>40673</v>
      </c>
    </row>
    <row r="96" spans="1:15" ht="14.25">
      <c r="A96" s="191">
        <v>2011</v>
      </c>
      <c r="B96" s="190">
        <v>2</v>
      </c>
      <c r="C96" s="190" t="s">
        <v>167</v>
      </c>
      <c r="D96" s="114">
        <v>1421042</v>
      </c>
      <c r="E96" s="114">
        <v>2</v>
      </c>
      <c r="F96" s="114"/>
      <c r="G96" s="114">
        <v>7</v>
      </c>
      <c r="H96" s="114" t="s">
        <v>188</v>
      </c>
      <c r="I96" s="114"/>
      <c r="J96" s="114" t="s">
        <v>189</v>
      </c>
      <c r="K96" s="114" t="b">
        <v>0</v>
      </c>
      <c r="L96" s="191">
        <v>2012</v>
      </c>
      <c r="M96" s="115">
        <v>7515800</v>
      </c>
      <c r="N96" s="116">
        <v>40673</v>
      </c>
      <c r="O96" s="116">
        <v>40673</v>
      </c>
    </row>
    <row r="97" spans="1:15" ht="14.25">
      <c r="A97" s="191">
        <v>2011</v>
      </c>
      <c r="B97" s="190">
        <v>2</v>
      </c>
      <c r="C97" s="190" t="s">
        <v>167</v>
      </c>
      <c r="D97" s="114">
        <v>1421042</v>
      </c>
      <c r="E97" s="114">
        <v>2</v>
      </c>
      <c r="F97" s="114"/>
      <c r="G97" s="114">
        <v>7</v>
      </c>
      <c r="H97" s="114" t="s">
        <v>188</v>
      </c>
      <c r="I97" s="114"/>
      <c r="J97" s="114" t="s">
        <v>189</v>
      </c>
      <c r="K97" s="114" t="b">
        <v>0</v>
      </c>
      <c r="L97" s="191">
        <v>2014</v>
      </c>
      <c r="M97" s="115">
        <v>8444800</v>
      </c>
      <c r="N97" s="116">
        <v>40673</v>
      </c>
      <c r="O97" s="116">
        <v>40673</v>
      </c>
    </row>
    <row r="98" spans="1:15" ht="14.25">
      <c r="A98" s="191">
        <v>2011</v>
      </c>
      <c r="B98" s="190">
        <v>2</v>
      </c>
      <c r="C98" s="190" t="s">
        <v>167</v>
      </c>
      <c r="D98" s="114">
        <v>1421042</v>
      </c>
      <c r="E98" s="114">
        <v>2</v>
      </c>
      <c r="F98" s="114"/>
      <c r="G98" s="114">
        <v>7</v>
      </c>
      <c r="H98" s="114" t="s">
        <v>188</v>
      </c>
      <c r="I98" s="114"/>
      <c r="J98" s="114" t="s">
        <v>189</v>
      </c>
      <c r="K98" s="114" t="b">
        <v>0</v>
      </c>
      <c r="L98" s="191">
        <v>2015</v>
      </c>
      <c r="M98" s="115">
        <v>8951400</v>
      </c>
      <c r="N98" s="116">
        <v>40673</v>
      </c>
      <c r="O98" s="116">
        <v>40673</v>
      </c>
    </row>
    <row r="99" spans="1:15" ht="14.25">
      <c r="A99" s="191">
        <v>2011</v>
      </c>
      <c r="B99" s="190">
        <v>2</v>
      </c>
      <c r="C99" s="190" t="s">
        <v>167</v>
      </c>
      <c r="D99" s="114">
        <v>1421042</v>
      </c>
      <c r="E99" s="114">
        <v>2</v>
      </c>
      <c r="F99" s="114"/>
      <c r="G99" s="114">
        <v>36</v>
      </c>
      <c r="H99" s="114">
        <v>19</v>
      </c>
      <c r="I99" s="114" t="s">
        <v>190</v>
      </c>
      <c r="J99" s="114" t="s">
        <v>191</v>
      </c>
      <c r="K99" s="114" t="b">
        <v>1</v>
      </c>
      <c r="L99" s="191">
        <v>2018</v>
      </c>
      <c r="M99" s="115">
        <v>81900000</v>
      </c>
      <c r="N99" s="116">
        <v>40673</v>
      </c>
      <c r="O99" s="116">
        <v>40673</v>
      </c>
    </row>
    <row r="100" spans="1:15" ht="14.25">
      <c r="A100" s="191">
        <v>2011</v>
      </c>
      <c r="B100" s="190">
        <v>2</v>
      </c>
      <c r="C100" s="190" t="s">
        <v>167</v>
      </c>
      <c r="D100" s="114">
        <v>1421042</v>
      </c>
      <c r="E100" s="114">
        <v>2</v>
      </c>
      <c r="F100" s="114"/>
      <c r="G100" s="114">
        <v>36</v>
      </c>
      <c r="H100" s="114">
        <v>19</v>
      </c>
      <c r="I100" s="114" t="s">
        <v>190</v>
      </c>
      <c r="J100" s="114" t="s">
        <v>191</v>
      </c>
      <c r="K100" s="114" t="b">
        <v>1</v>
      </c>
      <c r="L100" s="191">
        <v>2019</v>
      </c>
      <c r="M100" s="115">
        <v>85176000</v>
      </c>
      <c r="N100" s="116">
        <v>40673</v>
      </c>
      <c r="O100" s="116">
        <v>40673</v>
      </c>
    </row>
    <row r="101" spans="1:15" ht="14.25">
      <c r="A101" s="191">
        <v>2011</v>
      </c>
      <c r="B101" s="190">
        <v>2</v>
      </c>
      <c r="C101" s="190" t="s">
        <v>167</v>
      </c>
      <c r="D101" s="114">
        <v>1421042</v>
      </c>
      <c r="E101" s="114">
        <v>2</v>
      </c>
      <c r="F101" s="114"/>
      <c r="G101" s="114">
        <v>36</v>
      </c>
      <c r="H101" s="114">
        <v>19</v>
      </c>
      <c r="I101" s="114" t="s">
        <v>190</v>
      </c>
      <c r="J101" s="114" t="s">
        <v>191</v>
      </c>
      <c r="K101" s="114" t="b">
        <v>1</v>
      </c>
      <c r="L101" s="191">
        <v>2012</v>
      </c>
      <c r="M101" s="115">
        <v>64800100</v>
      </c>
      <c r="N101" s="116">
        <v>40673</v>
      </c>
      <c r="O101" s="116">
        <v>40673</v>
      </c>
    </row>
    <row r="102" spans="1:15" ht="14.25">
      <c r="A102" s="191">
        <v>2011</v>
      </c>
      <c r="B102" s="190">
        <v>2</v>
      </c>
      <c r="C102" s="190" t="s">
        <v>167</v>
      </c>
      <c r="D102" s="114">
        <v>1421042</v>
      </c>
      <c r="E102" s="114">
        <v>2</v>
      </c>
      <c r="F102" s="114"/>
      <c r="G102" s="114">
        <v>36</v>
      </c>
      <c r="H102" s="114">
        <v>19</v>
      </c>
      <c r="I102" s="114" t="s">
        <v>190</v>
      </c>
      <c r="J102" s="114" t="s">
        <v>191</v>
      </c>
      <c r="K102" s="114" t="b">
        <v>1</v>
      </c>
      <c r="L102" s="191">
        <v>2015</v>
      </c>
      <c r="M102" s="115">
        <v>72810500</v>
      </c>
      <c r="N102" s="116">
        <v>40673</v>
      </c>
      <c r="O102" s="116">
        <v>40673</v>
      </c>
    </row>
    <row r="103" spans="1:15" ht="14.25">
      <c r="A103" s="191">
        <v>2011</v>
      </c>
      <c r="B103" s="190">
        <v>2</v>
      </c>
      <c r="C103" s="190" t="s">
        <v>167</v>
      </c>
      <c r="D103" s="114">
        <v>1421042</v>
      </c>
      <c r="E103" s="114">
        <v>2</v>
      </c>
      <c r="F103" s="114"/>
      <c r="G103" s="114">
        <v>36</v>
      </c>
      <c r="H103" s="114">
        <v>19</v>
      </c>
      <c r="I103" s="114" t="s">
        <v>190</v>
      </c>
      <c r="J103" s="114" t="s">
        <v>191</v>
      </c>
      <c r="K103" s="114" t="b">
        <v>1</v>
      </c>
      <c r="L103" s="191">
        <v>2017</v>
      </c>
      <c r="M103" s="115">
        <v>78751800</v>
      </c>
      <c r="N103" s="116">
        <v>40673</v>
      </c>
      <c r="O103" s="116">
        <v>40673</v>
      </c>
    </row>
    <row r="104" spans="1:15" ht="14.25">
      <c r="A104" s="191">
        <v>2011</v>
      </c>
      <c r="B104" s="190">
        <v>2</v>
      </c>
      <c r="C104" s="190" t="s">
        <v>167</v>
      </c>
      <c r="D104" s="114">
        <v>1421042</v>
      </c>
      <c r="E104" s="114">
        <v>2</v>
      </c>
      <c r="F104" s="114"/>
      <c r="G104" s="114">
        <v>36</v>
      </c>
      <c r="H104" s="114">
        <v>19</v>
      </c>
      <c r="I104" s="114" t="s">
        <v>190</v>
      </c>
      <c r="J104" s="114" t="s">
        <v>191</v>
      </c>
      <c r="K104" s="114" t="b">
        <v>1</v>
      </c>
      <c r="L104" s="191">
        <v>2014</v>
      </c>
      <c r="M104" s="115">
        <v>70001230</v>
      </c>
      <c r="N104" s="116">
        <v>40673</v>
      </c>
      <c r="O104" s="116">
        <v>40673</v>
      </c>
    </row>
    <row r="105" spans="1:15" ht="14.25">
      <c r="A105" s="191">
        <v>2011</v>
      </c>
      <c r="B105" s="190">
        <v>2</v>
      </c>
      <c r="C105" s="190" t="s">
        <v>167</v>
      </c>
      <c r="D105" s="114">
        <v>1421042</v>
      </c>
      <c r="E105" s="114">
        <v>2</v>
      </c>
      <c r="F105" s="114"/>
      <c r="G105" s="114">
        <v>36</v>
      </c>
      <c r="H105" s="114">
        <v>19</v>
      </c>
      <c r="I105" s="114" t="s">
        <v>190</v>
      </c>
      <c r="J105" s="114" t="s">
        <v>191</v>
      </c>
      <c r="K105" s="114" t="b">
        <v>1</v>
      </c>
      <c r="L105" s="191">
        <v>2011</v>
      </c>
      <c r="M105" s="115">
        <v>62918527.72</v>
      </c>
      <c r="N105" s="116">
        <v>40673</v>
      </c>
      <c r="O105" s="116">
        <v>40673</v>
      </c>
    </row>
    <row r="106" spans="1:15" ht="14.25">
      <c r="A106" s="191">
        <v>2011</v>
      </c>
      <c r="B106" s="190">
        <v>2</v>
      </c>
      <c r="C106" s="190" t="s">
        <v>167</v>
      </c>
      <c r="D106" s="114">
        <v>1421042</v>
      </c>
      <c r="E106" s="114">
        <v>2</v>
      </c>
      <c r="F106" s="114"/>
      <c r="G106" s="114">
        <v>36</v>
      </c>
      <c r="H106" s="114">
        <v>19</v>
      </c>
      <c r="I106" s="114" t="s">
        <v>190</v>
      </c>
      <c r="J106" s="114" t="s">
        <v>191</v>
      </c>
      <c r="K106" s="114" t="b">
        <v>1</v>
      </c>
      <c r="L106" s="191">
        <v>2020</v>
      </c>
      <c r="M106" s="115">
        <v>85161720</v>
      </c>
      <c r="N106" s="116">
        <v>40673</v>
      </c>
      <c r="O106" s="116">
        <v>40673</v>
      </c>
    </row>
    <row r="107" spans="1:15" ht="14.25">
      <c r="A107" s="191">
        <v>2011</v>
      </c>
      <c r="B107" s="190">
        <v>2</v>
      </c>
      <c r="C107" s="190" t="s">
        <v>167</v>
      </c>
      <c r="D107" s="114">
        <v>1421042</v>
      </c>
      <c r="E107" s="114">
        <v>2</v>
      </c>
      <c r="F107" s="114"/>
      <c r="G107" s="114">
        <v>36</v>
      </c>
      <c r="H107" s="114">
        <v>19</v>
      </c>
      <c r="I107" s="114" t="s">
        <v>190</v>
      </c>
      <c r="J107" s="114" t="s">
        <v>191</v>
      </c>
      <c r="K107" s="114" t="b">
        <v>1</v>
      </c>
      <c r="L107" s="191">
        <v>2016</v>
      </c>
      <c r="M107" s="115">
        <v>75722400</v>
      </c>
      <c r="N107" s="116">
        <v>40673</v>
      </c>
      <c r="O107" s="116">
        <v>40673</v>
      </c>
    </row>
    <row r="108" spans="1:15" ht="14.25">
      <c r="A108" s="191">
        <v>2011</v>
      </c>
      <c r="B108" s="190">
        <v>2</v>
      </c>
      <c r="C108" s="190" t="s">
        <v>167</v>
      </c>
      <c r="D108" s="114">
        <v>1421042</v>
      </c>
      <c r="E108" s="114">
        <v>2</v>
      </c>
      <c r="F108" s="114"/>
      <c r="G108" s="114">
        <v>36</v>
      </c>
      <c r="H108" s="114">
        <v>19</v>
      </c>
      <c r="I108" s="114" t="s">
        <v>190</v>
      </c>
      <c r="J108" s="114" t="s">
        <v>191</v>
      </c>
      <c r="K108" s="114" t="b">
        <v>1</v>
      </c>
      <c r="L108" s="191">
        <v>2013</v>
      </c>
      <c r="M108" s="115">
        <v>67311500</v>
      </c>
      <c r="N108" s="116">
        <v>40673</v>
      </c>
      <c r="O108" s="116">
        <v>40673</v>
      </c>
    </row>
    <row r="109" spans="1:15" ht="14.25">
      <c r="A109" s="191">
        <v>2011</v>
      </c>
      <c r="B109" s="190">
        <v>2</v>
      </c>
      <c r="C109" s="190" t="s">
        <v>167</v>
      </c>
      <c r="D109" s="114">
        <v>1421042</v>
      </c>
      <c r="E109" s="114">
        <v>2</v>
      </c>
      <c r="F109" s="114"/>
      <c r="G109" s="114">
        <v>29</v>
      </c>
      <c r="H109" s="114">
        <v>15</v>
      </c>
      <c r="I109" s="114" t="s">
        <v>192</v>
      </c>
      <c r="J109" s="114" t="s">
        <v>193</v>
      </c>
      <c r="K109" s="114" t="b">
        <v>1</v>
      </c>
      <c r="L109" s="191">
        <v>2020</v>
      </c>
      <c r="M109" s="115">
        <v>0.0964</v>
      </c>
      <c r="N109" s="116">
        <v>40673</v>
      </c>
      <c r="O109" s="116">
        <v>40673</v>
      </c>
    </row>
    <row r="110" spans="1:15" ht="14.25">
      <c r="A110" s="191">
        <v>2011</v>
      </c>
      <c r="B110" s="190">
        <v>2</v>
      </c>
      <c r="C110" s="190" t="s">
        <v>167</v>
      </c>
      <c r="D110" s="114">
        <v>1421042</v>
      </c>
      <c r="E110" s="114">
        <v>2</v>
      </c>
      <c r="F110" s="114"/>
      <c r="G110" s="114">
        <v>29</v>
      </c>
      <c r="H110" s="114">
        <v>15</v>
      </c>
      <c r="I110" s="114" t="s">
        <v>192</v>
      </c>
      <c r="J110" s="114" t="s">
        <v>193</v>
      </c>
      <c r="K110" s="114" t="b">
        <v>1</v>
      </c>
      <c r="L110" s="191">
        <v>2018</v>
      </c>
      <c r="M110" s="115">
        <v>0.0711</v>
      </c>
      <c r="N110" s="116">
        <v>40673</v>
      </c>
      <c r="O110" s="116">
        <v>40673</v>
      </c>
    </row>
    <row r="111" spans="1:15" ht="14.25">
      <c r="A111" s="191">
        <v>2011</v>
      </c>
      <c r="B111" s="190">
        <v>2</v>
      </c>
      <c r="C111" s="190" t="s">
        <v>167</v>
      </c>
      <c r="D111" s="114">
        <v>1421042</v>
      </c>
      <c r="E111" s="114">
        <v>2</v>
      </c>
      <c r="F111" s="114"/>
      <c r="G111" s="114">
        <v>29</v>
      </c>
      <c r="H111" s="114">
        <v>15</v>
      </c>
      <c r="I111" s="114" t="s">
        <v>192</v>
      </c>
      <c r="J111" s="114" t="s">
        <v>193</v>
      </c>
      <c r="K111" s="114" t="b">
        <v>1</v>
      </c>
      <c r="L111" s="191">
        <v>2016</v>
      </c>
      <c r="M111" s="115">
        <v>0.0842</v>
      </c>
      <c r="N111" s="116">
        <v>40673</v>
      </c>
      <c r="O111" s="116">
        <v>40673</v>
      </c>
    </row>
    <row r="112" spans="1:15" ht="14.25">
      <c r="A112" s="191">
        <v>2011</v>
      </c>
      <c r="B112" s="190">
        <v>2</v>
      </c>
      <c r="C112" s="190" t="s">
        <v>167</v>
      </c>
      <c r="D112" s="114">
        <v>1421042</v>
      </c>
      <c r="E112" s="114">
        <v>2</v>
      </c>
      <c r="F112" s="114"/>
      <c r="G112" s="114">
        <v>29</v>
      </c>
      <c r="H112" s="114">
        <v>15</v>
      </c>
      <c r="I112" s="114" t="s">
        <v>192</v>
      </c>
      <c r="J112" s="114" t="s">
        <v>193</v>
      </c>
      <c r="K112" s="114" t="b">
        <v>1</v>
      </c>
      <c r="L112" s="191">
        <v>2013</v>
      </c>
      <c r="M112" s="115">
        <v>0.1094</v>
      </c>
      <c r="N112" s="116">
        <v>40673</v>
      </c>
      <c r="O112" s="116">
        <v>40673</v>
      </c>
    </row>
    <row r="113" spans="1:15" ht="14.25">
      <c r="A113" s="191">
        <v>2011</v>
      </c>
      <c r="B113" s="190">
        <v>2</v>
      </c>
      <c r="C113" s="190" t="s">
        <v>167</v>
      </c>
      <c r="D113" s="114">
        <v>1421042</v>
      </c>
      <c r="E113" s="114">
        <v>2</v>
      </c>
      <c r="F113" s="114"/>
      <c r="G113" s="114">
        <v>29</v>
      </c>
      <c r="H113" s="114">
        <v>15</v>
      </c>
      <c r="I113" s="114" t="s">
        <v>192</v>
      </c>
      <c r="J113" s="114" t="s">
        <v>193</v>
      </c>
      <c r="K113" s="114" t="b">
        <v>1</v>
      </c>
      <c r="L113" s="191">
        <v>2019</v>
      </c>
      <c r="M113" s="115">
        <v>0.0641</v>
      </c>
      <c r="N113" s="116">
        <v>40673</v>
      </c>
      <c r="O113" s="116">
        <v>40673</v>
      </c>
    </row>
    <row r="114" spans="1:15" ht="14.25">
      <c r="A114" s="191">
        <v>2011</v>
      </c>
      <c r="B114" s="190">
        <v>2</v>
      </c>
      <c r="C114" s="190" t="s">
        <v>167</v>
      </c>
      <c r="D114" s="114">
        <v>1421042</v>
      </c>
      <c r="E114" s="114">
        <v>2</v>
      </c>
      <c r="F114" s="114"/>
      <c r="G114" s="114">
        <v>29</v>
      </c>
      <c r="H114" s="114">
        <v>15</v>
      </c>
      <c r="I114" s="114" t="s">
        <v>192</v>
      </c>
      <c r="J114" s="114" t="s">
        <v>193</v>
      </c>
      <c r="K114" s="114" t="b">
        <v>1</v>
      </c>
      <c r="L114" s="191">
        <v>2017</v>
      </c>
      <c r="M114" s="115">
        <v>0.0806</v>
      </c>
      <c r="N114" s="116">
        <v>40673</v>
      </c>
      <c r="O114" s="116">
        <v>40673</v>
      </c>
    </row>
    <row r="115" spans="1:15" ht="14.25">
      <c r="A115" s="191">
        <v>2011</v>
      </c>
      <c r="B115" s="190">
        <v>2</v>
      </c>
      <c r="C115" s="190" t="s">
        <v>167</v>
      </c>
      <c r="D115" s="114">
        <v>1421042</v>
      </c>
      <c r="E115" s="114">
        <v>2</v>
      </c>
      <c r="F115" s="114"/>
      <c r="G115" s="114">
        <v>29</v>
      </c>
      <c r="H115" s="114">
        <v>15</v>
      </c>
      <c r="I115" s="114" t="s">
        <v>192</v>
      </c>
      <c r="J115" s="114" t="s">
        <v>193</v>
      </c>
      <c r="K115" s="114" t="b">
        <v>1</v>
      </c>
      <c r="L115" s="191">
        <v>2012</v>
      </c>
      <c r="M115" s="115">
        <v>0.1054</v>
      </c>
      <c r="N115" s="116">
        <v>40673</v>
      </c>
      <c r="O115" s="116">
        <v>40673</v>
      </c>
    </row>
    <row r="116" spans="1:15" ht="14.25">
      <c r="A116" s="191">
        <v>2011</v>
      </c>
      <c r="B116" s="190">
        <v>2</v>
      </c>
      <c r="C116" s="190" t="s">
        <v>167</v>
      </c>
      <c r="D116" s="114">
        <v>1421042</v>
      </c>
      <c r="E116" s="114">
        <v>2</v>
      </c>
      <c r="F116" s="114"/>
      <c r="G116" s="114">
        <v>29</v>
      </c>
      <c r="H116" s="114">
        <v>15</v>
      </c>
      <c r="I116" s="114" t="s">
        <v>192</v>
      </c>
      <c r="J116" s="114" t="s">
        <v>193</v>
      </c>
      <c r="K116" s="114" t="b">
        <v>1</v>
      </c>
      <c r="L116" s="191">
        <v>2015</v>
      </c>
      <c r="M116" s="115">
        <v>0.0907</v>
      </c>
      <c r="N116" s="116">
        <v>40673</v>
      </c>
      <c r="O116" s="116">
        <v>40673</v>
      </c>
    </row>
    <row r="117" spans="1:15" ht="14.25">
      <c r="A117" s="191">
        <v>2011</v>
      </c>
      <c r="B117" s="190">
        <v>2</v>
      </c>
      <c r="C117" s="190" t="s">
        <v>167</v>
      </c>
      <c r="D117" s="114">
        <v>1421042</v>
      </c>
      <c r="E117" s="114">
        <v>2</v>
      </c>
      <c r="F117" s="114"/>
      <c r="G117" s="114">
        <v>29</v>
      </c>
      <c r="H117" s="114">
        <v>15</v>
      </c>
      <c r="I117" s="114" t="s">
        <v>192</v>
      </c>
      <c r="J117" s="114" t="s">
        <v>193</v>
      </c>
      <c r="K117" s="114" t="b">
        <v>1</v>
      </c>
      <c r="L117" s="191">
        <v>2014</v>
      </c>
      <c r="M117" s="115">
        <v>0.1002</v>
      </c>
      <c r="N117" s="116">
        <v>40673</v>
      </c>
      <c r="O117" s="116">
        <v>40673</v>
      </c>
    </row>
    <row r="118" spans="1:15" ht="14.25">
      <c r="A118" s="191">
        <v>2011</v>
      </c>
      <c r="B118" s="190">
        <v>2</v>
      </c>
      <c r="C118" s="190" t="s">
        <v>167</v>
      </c>
      <c r="D118" s="114">
        <v>1421042</v>
      </c>
      <c r="E118" s="114">
        <v>2</v>
      </c>
      <c r="F118" s="114"/>
      <c r="G118" s="114">
        <v>29</v>
      </c>
      <c r="H118" s="114">
        <v>15</v>
      </c>
      <c r="I118" s="114" t="s">
        <v>192</v>
      </c>
      <c r="J118" s="114" t="s">
        <v>193</v>
      </c>
      <c r="K118" s="114" t="b">
        <v>1</v>
      </c>
      <c r="L118" s="191">
        <v>2011</v>
      </c>
      <c r="M118" s="115">
        <v>0.0956</v>
      </c>
      <c r="N118" s="116">
        <v>40673</v>
      </c>
      <c r="O118" s="116">
        <v>40673</v>
      </c>
    </row>
    <row r="119" spans="1:15" ht="14.25">
      <c r="A119" s="191">
        <v>2011</v>
      </c>
      <c r="B119" s="190">
        <v>2</v>
      </c>
      <c r="C119" s="190" t="s">
        <v>167</v>
      </c>
      <c r="D119" s="114">
        <v>1421042</v>
      </c>
      <c r="E119" s="114">
        <v>2</v>
      </c>
      <c r="F119" s="114"/>
      <c r="G119" s="114">
        <v>3</v>
      </c>
      <c r="H119" s="114" t="s">
        <v>194</v>
      </c>
      <c r="I119" s="114"/>
      <c r="J119" s="114" t="s">
        <v>195</v>
      </c>
      <c r="K119" s="114" t="b">
        <v>1</v>
      </c>
      <c r="L119" s="191">
        <v>2011</v>
      </c>
      <c r="M119" s="115">
        <v>7470600</v>
      </c>
      <c r="N119" s="116">
        <v>40673</v>
      </c>
      <c r="O119" s="116">
        <v>40673</v>
      </c>
    </row>
    <row r="120" spans="1:15" ht="14.25">
      <c r="A120" s="191">
        <v>2011</v>
      </c>
      <c r="B120" s="190">
        <v>2</v>
      </c>
      <c r="C120" s="190" t="s">
        <v>167</v>
      </c>
      <c r="D120" s="114">
        <v>1421042</v>
      </c>
      <c r="E120" s="114">
        <v>2</v>
      </c>
      <c r="F120" s="114"/>
      <c r="G120" s="114">
        <v>5</v>
      </c>
      <c r="H120" s="114">
        <v>2</v>
      </c>
      <c r="I120" s="114"/>
      <c r="J120" s="114" t="s">
        <v>8</v>
      </c>
      <c r="K120" s="114" t="b">
        <v>1</v>
      </c>
      <c r="L120" s="191">
        <v>2012</v>
      </c>
      <c r="M120" s="115">
        <v>62918144</v>
      </c>
      <c r="N120" s="116">
        <v>40673</v>
      </c>
      <c r="O120" s="116">
        <v>40673</v>
      </c>
    </row>
    <row r="121" spans="1:15" ht="14.25">
      <c r="A121" s="191">
        <v>2011</v>
      </c>
      <c r="B121" s="190">
        <v>2</v>
      </c>
      <c r="C121" s="190" t="s">
        <v>167</v>
      </c>
      <c r="D121" s="114">
        <v>1421042</v>
      </c>
      <c r="E121" s="114">
        <v>2</v>
      </c>
      <c r="F121" s="114"/>
      <c r="G121" s="114">
        <v>5</v>
      </c>
      <c r="H121" s="114">
        <v>2</v>
      </c>
      <c r="I121" s="114"/>
      <c r="J121" s="114" t="s">
        <v>8</v>
      </c>
      <c r="K121" s="114" t="b">
        <v>1</v>
      </c>
      <c r="L121" s="191">
        <v>2017</v>
      </c>
      <c r="M121" s="115">
        <v>77169137</v>
      </c>
      <c r="N121" s="116">
        <v>40673</v>
      </c>
      <c r="O121" s="116">
        <v>40673</v>
      </c>
    </row>
    <row r="122" spans="1:15" ht="14.25">
      <c r="A122" s="191">
        <v>2011</v>
      </c>
      <c r="B122" s="190">
        <v>2</v>
      </c>
      <c r="C122" s="190" t="s">
        <v>167</v>
      </c>
      <c r="D122" s="114">
        <v>1421042</v>
      </c>
      <c r="E122" s="114">
        <v>2</v>
      </c>
      <c r="F122" s="114"/>
      <c r="G122" s="114">
        <v>5</v>
      </c>
      <c r="H122" s="114">
        <v>2</v>
      </c>
      <c r="I122" s="114"/>
      <c r="J122" s="114" t="s">
        <v>8</v>
      </c>
      <c r="K122" s="114" t="b">
        <v>1</v>
      </c>
      <c r="L122" s="191">
        <v>2014</v>
      </c>
      <c r="M122" s="115">
        <v>67778068</v>
      </c>
      <c r="N122" s="116">
        <v>40673</v>
      </c>
      <c r="O122" s="116">
        <v>40673</v>
      </c>
    </row>
    <row r="123" spans="1:15" ht="14.25">
      <c r="A123" s="191">
        <v>2011</v>
      </c>
      <c r="B123" s="190">
        <v>2</v>
      </c>
      <c r="C123" s="190" t="s">
        <v>167</v>
      </c>
      <c r="D123" s="114">
        <v>1421042</v>
      </c>
      <c r="E123" s="114">
        <v>2</v>
      </c>
      <c r="F123" s="114"/>
      <c r="G123" s="114">
        <v>5</v>
      </c>
      <c r="H123" s="114">
        <v>2</v>
      </c>
      <c r="I123" s="114"/>
      <c r="J123" s="114" t="s">
        <v>8</v>
      </c>
      <c r="K123" s="114" t="b">
        <v>1</v>
      </c>
      <c r="L123" s="191">
        <v>2013</v>
      </c>
      <c r="M123" s="115">
        <v>65164070</v>
      </c>
      <c r="N123" s="116">
        <v>40673</v>
      </c>
      <c r="O123" s="116">
        <v>40673</v>
      </c>
    </row>
    <row r="124" spans="1:15" ht="14.25">
      <c r="A124" s="191">
        <v>2011</v>
      </c>
      <c r="B124" s="190">
        <v>2</v>
      </c>
      <c r="C124" s="190" t="s">
        <v>167</v>
      </c>
      <c r="D124" s="114">
        <v>1421042</v>
      </c>
      <c r="E124" s="114">
        <v>2</v>
      </c>
      <c r="F124" s="114"/>
      <c r="G124" s="114">
        <v>5</v>
      </c>
      <c r="H124" s="114">
        <v>2</v>
      </c>
      <c r="I124" s="114"/>
      <c r="J124" s="114" t="s">
        <v>8</v>
      </c>
      <c r="K124" s="114" t="b">
        <v>1</v>
      </c>
      <c r="L124" s="191">
        <v>2016</v>
      </c>
      <c r="M124" s="115">
        <v>73774124</v>
      </c>
      <c r="N124" s="116">
        <v>40673</v>
      </c>
      <c r="O124" s="116">
        <v>40673</v>
      </c>
    </row>
    <row r="125" spans="1:15" ht="14.25">
      <c r="A125" s="191">
        <v>2011</v>
      </c>
      <c r="B125" s="190">
        <v>2</v>
      </c>
      <c r="C125" s="190" t="s">
        <v>167</v>
      </c>
      <c r="D125" s="114">
        <v>1421042</v>
      </c>
      <c r="E125" s="114">
        <v>2</v>
      </c>
      <c r="F125" s="114"/>
      <c r="G125" s="114">
        <v>5</v>
      </c>
      <c r="H125" s="114">
        <v>2</v>
      </c>
      <c r="I125" s="114"/>
      <c r="J125" s="114" t="s">
        <v>8</v>
      </c>
      <c r="K125" s="114" t="b">
        <v>1</v>
      </c>
      <c r="L125" s="191">
        <v>2019</v>
      </c>
      <c r="M125" s="115">
        <v>84368220</v>
      </c>
      <c r="N125" s="116">
        <v>40673</v>
      </c>
      <c r="O125" s="116">
        <v>40673</v>
      </c>
    </row>
    <row r="126" spans="1:15" ht="14.25">
      <c r="A126" s="191">
        <v>2011</v>
      </c>
      <c r="B126" s="190">
        <v>2</v>
      </c>
      <c r="C126" s="190" t="s">
        <v>167</v>
      </c>
      <c r="D126" s="114">
        <v>1421042</v>
      </c>
      <c r="E126" s="114">
        <v>2</v>
      </c>
      <c r="F126" s="114"/>
      <c r="G126" s="114">
        <v>5</v>
      </c>
      <c r="H126" s="114">
        <v>2</v>
      </c>
      <c r="I126" s="114"/>
      <c r="J126" s="114" t="s">
        <v>8</v>
      </c>
      <c r="K126" s="114" t="b">
        <v>1</v>
      </c>
      <c r="L126" s="191">
        <v>2020</v>
      </c>
      <c r="M126" s="115">
        <v>84740340</v>
      </c>
      <c r="N126" s="116">
        <v>40673</v>
      </c>
      <c r="O126" s="116">
        <v>40673</v>
      </c>
    </row>
    <row r="127" spans="1:15" ht="14.25">
      <c r="A127" s="191">
        <v>2011</v>
      </c>
      <c r="B127" s="190">
        <v>2</v>
      </c>
      <c r="C127" s="190" t="s">
        <v>167</v>
      </c>
      <c r="D127" s="114">
        <v>1421042</v>
      </c>
      <c r="E127" s="114">
        <v>2</v>
      </c>
      <c r="F127" s="114"/>
      <c r="G127" s="114">
        <v>5</v>
      </c>
      <c r="H127" s="114">
        <v>2</v>
      </c>
      <c r="I127" s="114"/>
      <c r="J127" s="114" t="s">
        <v>8</v>
      </c>
      <c r="K127" s="114" t="b">
        <v>1</v>
      </c>
      <c r="L127" s="191">
        <v>2015</v>
      </c>
      <c r="M127" s="115">
        <v>70491440</v>
      </c>
      <c r="N127" s="116">
        <v>40673</v>
      </c>
      <c r="O127" s="116">
        <v>40673</v>
      </c>
    </row>
    <row r="128" spans="1:15" ht="14.25">
      <c r="A128" s="191">
        <v>2011</v>
      </c>
      <c r="B128" s="190">
        <v>2</v>
      </c>
      <c r="C128" s="190" t="s">
        <v>167</v>
      </c>
      <c r="D128" s="114">
        <v>1421042</v>
      </c>
      <c r="E128" s="114">
        <v>2</v>
      </c>
      <c r="F128" s="114"/>
      <c r="G128" s="114">
        <v>5</v>
      </c>
      <c r="H128" s="114">
        <v>2</v>
      </c>
      <c r="I128" s="114"/>
      <c r="J128" s="114" t="s">
        <v>8</v>
      </c>
      <c r="K128" s="114" t="b">
        <v>1</v>
      </c>
      <c r="L128" s="191">
        <v>2018</v>
      </c>
      <c r="M128" s="115">
        <v>80708820</v>
      </c>
      <c r="N128" s="116">
        <v>40673</v>
      </c>
      <c r="O128" s="116">
        <v>40673</v>
      </c>
    </row>
    <row r="129" spans="1:15" ht="14.25">
      <c r="A129" s="191">
        <v>2011</v>
      </c>
      <c r="B129" s="190">
        <v>2</v>
      </c>
      <c r="C129" s="190" t="s">
        <v>167</v>
      </c>
      <c r="D129" s="114">
        <v>1421042</v>
      </c>
      <c r="E129" s="114">
        <v>2</v>
      </c>
      <c r="F129" s="114"/>
      <c r="G129" s="114">
        <v>5</v>
      </c>
      <c r="H129" s="114">
        <v>2</v>
      </c>
      <c r="I129" s="114"/>
      <c r="J129" s="114" t="s">
        <v>8</v>
      </c>
      <c r="K129" s="114" t="b">
        <v>1</v>
      </c>
      <c r="L129" s="191">
        <v>2011</v>
      </c>
      <c r="M129" s="115">
        <v>61661426.72</v>
      </c>
      <c r="N129" s="116">
        <v>40673</v>
      </c>
      <c r="O129" s="116">
        <v>40673</v>
      </c>
    </row>
    <row r="130" spans="1:15" ht="14.25">
      <c r="A130" s="191">
        <v>2011</v>
      </c>
      <c r="B130" s="190">
        <v>2</v>
      </c>
      <c r="C130" s="190" t="s">
        <v>167</v>
      </c>
      <c r="D130" s="114">
        <v>1421042</v>
      </c>
      <c r="E130" s="114">
        <v>2</v>
      </c>
      <c r="F130" s="114"/>
      <c r="G130" s="114">
        <v>2</v>
      </c>
      <c r="H130" s="114" t="s">
        <v>196</v>
      </c>
      <c r="I130" s="114"/>
      <c r="J130" s="114" t="s">
        <v>197</v>
      </c>
      <c r="K130" s="114" t="b">
        <v>1</v>
      </c>
      <c r="L130" s="191">
        <v>2018</v>
      </c>
      <c r="M130" s="115">
        <v>106598109</v>
      </c>
      <c r="N130" s="116">
        <v>40673</v>
      </c>
      <c r="O130" s="116">
        <v>40673</v>
      </c>
    </row>
    <row r="131" spans="1:15" ht="14.25">
      <c r="A131" s="191">
        <v>2011</v>
      </c>
      <c r="B131" s="190">
        <v>2</v>
      </c>
      <c r="C131" s="190" t="s">
        <v>167</v>
      </c>
      <c r="D131" s="114">
        <v>1421042</v>
      </c>
      <c r="E131" s="114">
        <v>2</v>
      </c>
      <c r="F131" s="114"/>
      <c r="G131" s="114">
        <v>2</v>
      </c>
      <c r="H131" s="114" t="s">
        <v>196</v>
      </c>
      <c r="I131" s="114"/>
      <c r="J131" s="114" t="s">
        <v>197</v>
      </c>
      <c r="K131" s="114" t="b">
        <v>1</v>
      </c>
      <c r="L131" s="191">
        <v>2019</v>
      </c>
      <c r="M131" s="115">
        <v>113061489</v>
      </c>
      <c r="N131" s="116">
        <v>40673</v>
      </c>
      <c r="O131" s="116">
        <v>40673</v>
      </c>
    </row>
    <row r="132" spans="1:15" ht="14.25">
      <c r="A132" s="191">
        <v>2011</v>
      </c>
      <c r="B132" s="190">
        <v>2</v>
      </c>
      <c r="C132" s="190" t="s">
        <v>167</v>
      </c>
      <c r="D132" s="114">
        <v>1421042</v>
      </c>
      <c r="E132" s="114">
        <v>2</v>
      </c>
      <c r="F132" s="114"/>
      <c r="G132" s="114">
        <v>2</v>
      </c>
      <c r="H132" s="114" t="s">
        <v>196</v>
      </c>
      <c r="I132" s="114"/>
      <c r="J132" s="114" t="s">
        <v>197</v>
      </c>
      <c r="K132" s="114" t="b">
        <v>1</v>
      </c>
      <c r="L132" s="191">
        <v>2012</v>
      </c>
      <c r="M132" s="115">
        <v>75505659</v>
      </c>
      <c r="N132" s="116">
        <v>40673</v>
      </c>
      <c r="O132" s="116">
        <v>40673</v>
      </c>
    </row>
    <row r="133" spans="1:15" ht="14.25">
      <c r="A133" s="191">
        <v>2011</v>
      </c>
      <c r="B133" s="190">
        <v>2</v>
      </c>
      <c r="C133" s="190" t="s">
        <v>167</v>
      </c>
      <c r="D133" s="114">
        <v>1421042</v>
      </c>
      <c r="E133" s="114">
        <v>2</v>
      </c>
      <c r="F133" s="114"/>
      <c r="G133" s="114">
        <v>2</v>
      </c>
      <c r="H133" s="114" t="s">
        <v>196</v>
      </c>
      <c r="I133" s="114"/>
      <c r="J133" s="114" t="s">
        <v>197</v>
      </c>
      <c r="K133" s="114" t="b">
        <v>1</v>
      </c>
      <c r="L133" s="191">
        <v>2017</v>
      </c>
      <c r="M133" s="115">
        <v>100566656</v>
      </c>
      <c r="N133" s="116">
        <v>40673</v>
      </c>
      <c r="O133" s="116">
        <v>40673</v>
      </c>
    </row>
    <row r="134" spans="1:15" ht="14.25">
      <c r="A134" s="191">
        <v>2011</v>
      </c>
      <c r="B134" s="190">
        <v>2</v>
      </c>
      <c r="C134" s="190" t="s">
        <v>167</v>
      </c>
      <c r="D134" s="114">
        <v>1421042</v>
      </c>
      <c r="E134" s="114">
        <v>2</v>
      </c>
      <c r="F134" s="114"/>
      <c r="G134" s="114">
        <v>2</v>
      </c>
      <c r="H134" s="114" t="s">
        <v>196</v>
      </c>
      <c r="I134" s="114"/>
      <c r="J134" s="114" t="s">
        <v>197</v>
      </c>
      <c r="K134" s="114" t="b">
        <v>1</v>
      </c>
      <c r="L134" s="191">
        <v>2016</v>
      </c>
      <c r="M134" s="115">
        <v>95494112</v>
      </c>
      <c r="N134" s="116">
        <v>40673</v>
      </c>
      <c r="O134" s="116">
        <v>40673</v>
      </c>
    </row>
    <row r="135" spans="1:15" ht="14.25">
      <c r="A135" s="191">
        <v>2011</v>
      </c>
      <c r="B135" s="190">
        <v>2</v>
      </c>
      <c r="C135" s="190" t="s">
        <v>167</v>
      </c>
      <c r="D135" s="114">
        <v>1421042</v>
      </c>
      <c r="E135" s="114">
        <v>2</v>
      </c>
      <c r="F135" s="114"/>
      <c r="G135" s="114">
        <v>2</v>
      </c>
      <c r="H135" s="114" t="s">
        <v>196</v>
      </c>
      <c r="I135" s="114"/>
      <c r="J135" s="114" t="s">
        <v>197</v>
      </c>
      <c r="K135" s="114" t="b">
        <v>1</v>
      </c>
      <c r="L135" s="191">
        <v>2013</v>
      </c>
      <c r="M135" s="115">
        <v>81235289</v>
      </c>
      <c r="N135" s="116">
        <v>40673</v>
      </c>
      <c r="O135" s="116">
        <v>40673</v>
      </c>
    </row>
    <row r="136" spans="1:15" ht="14.25">
      <c r="A136" s="191">
        <v>2011</v>
      </c>
      <c r="B136" s="190">
        <v>2</v>
      </c>
      <c r="C136" s="190" t="s">
        <v>167</v>
      </c>
      <c r="D136" s="114">
        <v>1421042</v>
      </c>
      <c r="E136" s="114">
        <v>2</v>
      </c>
      <c r="F136" s="114"/>
      <c r="G136" s="114">
        <v>2</v>
      </c>
      <c r="H136" s="114" t="s">
        <v>196</v>
      </c>
      <c r="I136" s="114"/>
      <c r="J136" s="114" t="s">
        <v>197</v>
      </c>
      <c r="K136" s="114" t="b">
        <v>1</v>
      </c>
      <c r="L136" s="191">
        <v>2014</v>
      </c>
      <c r="M136" s="115">
        <v>86042639</v>
      </c>
      <c r="N136" s="116">
        <v>40673</v>
      </c>
      <c r="O136" s="116">
        <v>40673</v>
      </c>
    </row>
    <row r="137" spans="1:15" ht="14.25">
      <c r="A137" s="191">
        <v>2011</v>
      </c>
      <c r="B137" s="190">
        <v>2</v>
      </c>
      <c r="C137" s="190" t="s">
        <v>167</v>
      </c>
      <c r="D137" s="114">
        <v>1421042</v>
      </c>
      <c r="E137" s="114">
        <v>2</v>
      </c>
      <c r="F137" s="114"/>
      <c r="G137" s="114">
        <v>2</v>
      </c>
      <c r="H137" s="114" t="s">
        <v>196</v>
      </c>
      <c r="I137" s="114"/>
      <c r="J137" s="114" t="s">
        <v>197</v>
      </c>
      <c r="K137" s="114" t="b">
        <v>1</v>
      </c>
      <c r="L137" s="191">
        <v>2011</v>
      </c>
      <c r="M137" s="115">
        <v>71410923.79</v>
      </c>
      <c r="N137" s="116">
        <v>40673</v>
      </c>
      <c r="O137" s="116">
        <v>40673</v>
      </c>
    </row>
    <row r="138" spans="1:15" ht="14.25">
      <c r="A138" s="191">
        <v>2011</v>
      </c>
      <c r="B138" s="190">
        <v>2</v>
      </c>
      <c r="C138" s="190" t="s">
        <v>167</v>
      </c>
      <c r="D138" s="114">
        <v>1421042</v>
      </c>
      <c r="E138" s="114">
        <v>2</v>
      </c>
      <c r="F138" s="114"/>
      <c r="G138" s="114">
        <v>2</v>
      </c>
      <c r="H138" s="114" t="s">
        <v>196</v>
      </c>
      <c r="I138" s="114"/>
      <c r="J138" s="114" t="s">
        <v>197</v>
      </c>
      <c r="K138" s="114" t="b">
        <v>1</v>
      </c>
      <c r="L138" s="191">
        <v>2015</v>
      </c>
      <c r="M138" s="115">
        <v>91523349</v>
      </c>
      <c r="N138" s="116">
        <v>40673</v>
      </c>
      <c r="O138" s="116">
        <v>40673</v>
      </c>
    </row>
    <row r="139" spans="1:15" ht="14.25">
      <c r="A139" s="191">
        <v>2011</v>
      </c>
      <c r="B139" s="190">
        <v>2</v>
      </c>
      <c r="C139" s="190" t="s">
        <v>167</v>
      </c>
      <c r="D139" s="114">
        <v>1421042</v>
      </c>
      <c r="E139" s="114">
        <v>2</v>
      </c>
      <c r="F139" s="114"/>
      <c r="G139" s="114">
        <v>2</v>
      </c>
      <c r="H139" s="114" t="s">
        <v>196</v>
      </c>
      <c r="I139" s="114"/>
      <c r="J139" s="114" t="s">
        <v>197</v>
      </c>
      <c r="K139" s="114" t="b">
        <v>1</v>
      </c>
      <c r="L139" s="191">
        <v>2020</v>
      </c>
      <c r="M139" s="115">
        <v>116815684</v>
      </c>
      <c r="N139" s="116">
        <v>40673</v>
      </c>
      <c r="O139" s="116">
        <v>40673</v>
      </c>
    </row>
    <row r="140" spans="1:15" ht="14.25">
      <c r="A140" s="191">
        <v>2011</v>
      </c>
      <c r="B140" s="190">
        <v>2</v>
      </c>
      <c r="C140" s="190" t="s">
        <v>167</v>
      </c>
      <c r="D140" s="114">
        <v>1421042</v>
      </c>
      <c r="E140" s="114">
        <v>2</v>
      </c>
      <c r="F140" s="114"/>
      <c r="G140" s="114">
        <v>34</v>
      </c>
      <c r="H140" s="114">
        <v>17</v>
      </c>
      <c r="I140" s="114" t="s">
        <v>198</v>
      </c>
      <c r="J140" s="114" t="s">
        <v>199</v>
      </c>
      <c r="K140" s="114" t="b">
        <v>0</v>
      </c>
      <c r="L140" s="191">
        <v>2014</v>
      </c>
      <c r="M140" s="115">
        <v>0.1002</v>
      </c>
      <c r="N140" s="116">
        <v>40673</v>
      </c>
      <c r="O140" s="116">
        <v>40673</v>
      </c>
    </row>
    <row r="141" spans="1:15" ht="14.25">
      <c r="A141" s="191">
        <v>2011</v>
      </c>
      <c r="B141" s="190">
        <v>2</v>
      </c>
      <c r="C141" s="190" t="s">
        <v>167</v>
      </c>
      <c r="D141" s="114">
        <v>1421042</v>
      </c>
      <c r="E141" s="114">
        <v>2</v>
      </c>
      <c r="F141" s="114"/>
      <c r="G141" s="114">
        <v>34</v>
      </c>
      <c r="H141" s="114">
        <v>17</v>
      </c>
      <c r="I141" s="114" t="s">
        <v>198</v>
      </c>
      <c r="J141" s="114" t="s">
        <v>199</v>
      </c>
      <c r="K141" s="114" t="b">
        <v>0</v>
      </c>
      <c r="L141" s="191">
        <v>2018</v>
      </c>
      <c r="M141" s="115">
        <v>0.0711</v>
      </c>
      <c r="N141" s="116">
        <v>40673</v>
      </c>
      <c r="O141" s="116">
        <v>40673</v>
      </c>
    </row>
    <row r="142" spans="1:15" ht="14.25">
      <c r="A142" s="191">
        <v>2011</v>
      </c>
      <c r="B142" s="190">
        <v>2</v>
      </c>
      <c r="C142" s="190" t="s">
        <v>167</v>
      </c>
      <c r="D142" s="114">
        <v>1421042</v>
      </c>
      <c r="E142" s="114">
        <v>2</v>
      </c>
      <c r="F142" s="114"/>
      <c r="G142" s="114">
        <v>34</v>
      </c>
      <c r="H142" s="114">
        <v>17</v>
      </c>
      <c r="I142" s="114" t="s">
        <v>198</v>
      </c>
      <c r="J142" s="114" t="s">
        <v>199</v>
      </c>
      <c r="K142" s="114" t="b">
        <v>0</v>
      </c>
      <c r="L142" s="191">
        <v>2013</v>
      </c>
      <c r="M142" s="115">
        <v>0.1094</v>
      </c>
      <c r="N142" s="116">
        <v>40673</v>
      </c>
      <c r="O142" s="116">
        <v>40673</v>
      </c>
    </row>
    <row r="143" spans="1:15" ht="14.25">
      <c r="A143" s="191">
        <v>2011</v>
      </c>
      <c r="B143" s="190">
        <v>2</v>
      </c>
      <c r="C143" s="190" t="s">
        <v>167</v>
      </c>
      <c r="D143" s="114">
        <v>1421042</v>
      </c>
      <c r="E143" s="114">
        <v>2</v>
      </c>
      <c r="F143" s="114"/>
      <c r="G143" s="114">
        <v>34</v>
      </c>
      <c r="H143" s="114">
        <v>17</v>
      </c>
      <c r="I143" s="114" t="s">
        <v>198</v>
      </c>
      <c r="J143" s="114" t="s">
        <v>199</v>
      </c>
      <c r="K143" s="114" t="b">
        <v>0</v>
      </c>
      <c r="L143" s="191">
        <v>2015</v>
      </c>
      <c r="M143" s="115">
        <v>0.0907</v>
      </c>
      <c r="N143" s="116">
        <v>40673</v>
      </c>
      <c r="O143" s="116">
        <v>40673</v>
      </c>
    </row>
    <row r="144" spans="1:15" ht="14.25">
      <c r="A144" s="191">
        <v>2011</v>
      </c>
      <c r="B144" s="190">
        <v>2</v>
      </c>
      <c r="C144" s="190" t="s">
        <v>167</v>
      </c>
      <c r="D144" s="114">
        <v>1421042</v>
      </c>
      <c r="E144" s="114">
        <v>2</v>
      </c>
      <c r="F144" s="114"/>
      <c r="G144" s="114">
        <v>34</v>
      </c>
      <c r="H144" s="114">
        <v>17</v>
      </c>
      <c r="I144" s="114" t="s">
        <v>198</v>
      </c>
      <c r="J144" s="114" t="s">
        <v>199</v>
      </c>
      <c r="K144" s="114" t="b">
        <v>0</v>
      </c>
      <c r="L144" s="191">
        <v>2012</v>
      </c>
      <c r="M144" s="115">
        <v>0.1054</v>
      </c>
      <c r="N144" s="116">
        <v>40673</v>
      </c>
      <c r="O144" s="116">
        <v>40673</v>
      </c>
    </row>
    <row r="145" spans="1:15" ht="14.25">
      <c r="A145" s="191">
        <v>2011</v>
      </c>
      <c r="B145" s="190">
        <v>2</v>
      </c>
      <c r="C145" s="190" t="s">
        <v>167</v>
      </c>
      <c r="D145" s="114">
        <v>1421042</v>
      </c>
      <c r="E145" s="114">
        <v>2</v>
      </c>
      <c r="F145" s="114"/>
      <c r="G145" s="114">
        <v>34</v>
      </c>
      <c r="H145" s="114">
        <v>17</v>
      </c>
      <c r="I145" s="114" t="s">
        <v>198</v>
      </c>
      <c r="J145" s="114" t="s">
        <v>199</v>
      </c>
      <c r="K145" s="114" t="b">
        <v>0</v>
      </c>
      <c r="L145" s="191">
        <v>2020</v>
      </c>
      <c r="M145" s="115">
        <v>0.0964</v>
      </c>
      <c r="N145" s="116">
        <v>40673</v>
      </c>
      <c r="O145" s="116">
        <v>40673</v>
      </c>
    </row>
    <row r="146" spans="1:15" ht="14.25">
      <c r="A146" s="191">
        <v>2011</v>
      </c>
      <c r="B146" s="190">
        <v>2</v>
      </c>
      <c r="C146" s="190" t="s">
        <v>167</v>
      </c>
      <c r="D146" s="114">
        <v>1421042</v>
      </c>
      <c r="E146" s="114">
        <v>2</v>
      </c>
      <c r="F146" s="114"/>
      <c r="G146" s="114">
        <v>34</v>
      </c>
      <c r="H146" s="114">
        <v>17</v>
      </c>
      <c r="I146" s="114" t="s">
        <v>198</v>
      </c>
      <c r="J146" s="114" t="s">
        <v>199</v>
      </c>
      <c r="K146" s="114" t="b">
        <v>0</v>
      </c>
      <c r="L146" s="191">
        <v>2016</v>
      </c>
      <c r="M146" s="115">
        <v>0.0842</v>
      </c>
      <c r="N146" s="116">
        <v>40673</v>
      </c>
      <c r="O146" s="116">
        <v>40673</v>
      </c>
    </row>
    <row r="147" spans="1:15" ht="14.25">
      <c r="A147" s="191">
        <v>2011</v>
      </c>
      <c r="B147" s="190">
        <v>2</v>
      </c>
      <c r="C147" s="190" t="s">
        <v>167</v>
      </c>
      <c r="D147" s="114">
        <v>1421042</v>
      </c>
      <c r="E147" s="114">
        <v>2</v>
      </c>
      <c r="F147" s="114"/>
      <c r="G147" s="114">
        <v>34</v>
      </c>
      <c r="H147" s="114">
        <v>17</v>
      </c>
      <c r="I147" s="114" t="s">
        <v>198</v>
      </c>
      <c r="J147" s="114" t="s">
        <v>199</v>
      </c>
      <c r="K147" s="114" t="b">
        <v>0</v>
      </c>
      <c r="L147" s="191">
        <v>2017</v>
      </c>
      <c r="M147" s="115">
        <v>0.0806</v>
      </c>
      <c r="N147" s="116">
        <v>40673</v>
      </c>
      <c r="O147" s="116">
        <v>40673</v>
      </c>
    </row>
    <row r="148" spans="1:15" ht="14.25">
      <c r="A148" s="191">
        <v>2011</v>
      </c>
      <c r="B148" s="190">
        <v>2</v>
      </c>
      <c r="C148" s="190" t="s">
        <v>167</v>
      </c>
      <c r="D148" s="114">
        <v>1421042</v>
      </c>
      <c r="E148" s="114">
        <v>2</v>
      </c>
      <c r="F148" s="114"/>
      <c r="G148" s="114">
        <v>34</v>
      </c>
      <c r="H148" s="114">
        <v>17</v>
      </c>
      <c r="I148" s="114" t="s">
        <v>198</v>
      </c>
      <c r="J148" s="114" t="s">
        <v>199</v>
      </c>
      <c r="K148" s="114" t="b">
        <v>0</v>
      </c>
      <c r="L148" s="191">
        <v>2011</v>
      </c>
      <c r="M148" s="115">
        <v>0.0956</v>
      </c>
      <c r="N148" s="116">
        <v>40673</v>
      </c>
      <c r="O148" s="116">
        <v>40673</v>
      </c>
    </row>
    <row r="149" spans="1:15" ht="14.25">
      <c r="A149" s="191">
        <v>2011</v>
      </c>
      <c r="B149" s="190">
        <v>2</v>
      </c>
      <c r="C149" s="190" t="s">
        <v>167</v>
      </c>
      <c r="D149" s="114">
        <v>1421042</v>
      </c>
      <c r="E149" s="114">
        <v>2</v>
      </c>
      <c r="F149" s="114"/>
      <c r="G149" s="114">
        <v>34</v>
      </c>
      <c r="H149" s="114">
        <v>17</v>
      </c>
      <c r="I149" s="114" t="s">
        <v>198</v>
      </c>
      <c r="J149" s="114" t="s">
        <v>199</v>
      </c>
      <c r="K149" s="114" t="b">
        <v>0</v>
      </c>
      <c r="L149" s="191">
        <v>2019</v>
      </c>
      <c r="M149" s="115">
        <v>0.0641</v>
      </c>
      <c r="N149" s="116">
        <v>40673</v>
      </c>
      <c r="O149" s="116">
        <v>40673</v>
      </c>
    </row>
    <row r="150" spans="1:15" ht="14.25">
      <c r="A150" s="191">
        <v>2011</v>
      </c>
      <c r="B150" s="190">
        <v>2</v>
      </c>
      <c r="C150" s="190" t="s">
        <v>167</v>
      </c>
      <c r="D150" s="114">
        <v>1421042</v>
      </c>
      <c r="E150" s="114">
        <v>2</v>
      </c>
      <c r="F150" s="114"/>
      <c r="G150" s="114">
        <v>30</v>
      </c>
      <c r="H150" s="114" t="s">
        <v>200</v>
      </c>
      <c r="I150" s="114" t="s">
        <v>201</v>
      </c>
      <c r="J150" s="114" t="s">
        <v>151</v>
      </c>
      <c r="K150" s="114" t="b">
        <v>1</v>
      </c>
      <c r="L150" s="191">
        <v>2014</v>
      </c>
      <c r="M150" s="115">
        <v>0.1403</v>
      </c>
      <c r="N150" s="116">
        <v>40673</v>
      </c>
      <c r="O150" s="116">
        <v>40673</v>
      </c>
    </row>
    <row r="151" spans="1:15" ht="14.25">
      <c r="A151" s="191">
        <v>2011</v>
      </c>
      <c r="B151" s="190">
        <v>2</v>
      </c>
      <c r="C151" s="190" t="s">
        <v>167</v>
      </c>
      <c r="D151" s="114">
        <v>1421042</v>
      </c>
      <c r="E151" s="114">
        <v>2</v>
      </c>
      <c r="F151" s="114"/>
      <c r="G151" s="114">
        <v>30</v>
      </c>
      <c r="H151" s="114" t="s">
        <v>200</v>
      </c>
      <c r="I151" s="114" t="s">
        <v>201</v>
      </c>
      <c r="J151" s="114" t="s">
        <v>151</v>
      </c>
      <c r="K151" s="114" t="b">
        <v>1</v>
      </c>
      <c r="L151" s="191">
        <v>2020</v>
      </c>
      <c r="M151" s="115">
        <v>0.2317</v>
      </c>
      <c r="N151" s="116">
        <v>40673</v>
      </c>
      <c r="O151" s="116">
        <v>40673</v>
      </c>
    </row>
    <row r="152" spans="1:15" ht="14.25">
      <c r="A152" s="191">
        <v>2011</v>
      </c>
      <c r="B152" s="190">
        <v>2</v>
      </c>
      <c r="C152" s="190" t="s">
        <v>167</v>
      </c>
      <c r="D152" s="114">
        <v>1421042</v>
      </c>
      <c r="E152" s="114">
        <v>2</v>
      </c>
      <c r="F152" s="114"/>
      <c r="G152" s="114">
        <v>30</v>
      </c>
      <c r="H152" s="114" t="s">
        <v>200</v>
      </c>
      <c r="I152" s="114" t="s">
        <v>201</v>
      </c>
      <c r="J152" s="114" t="s">
        <v>151</v>
      </c>
      <c r="K152" s="114" t="b">
        <v>1</v>
      </c>
      <c r="L152" s="191">
        <v>2018</v>
      </c>
      <c r="M152" s="115">
        <v>0.2095</v>
      </c>
      <c r="N152" s="116">
        <v>40673</v>
      </c>
      <c r="O152" s="116">
        <v>40673</v>
      </c>
    </row>
    <row r="153" spans="1:15" ht="14.25">
      <c r="A153" s="191">
        <v>2011</v>
      </c>
      <c r="B153" s="190">
        <v>2</v>
      </c>
      <c r="C153" s="190" t="s">
        <v>167</v>
      </c>
      <c r="D153" s="114">
        <v>1421042</v>
      </c>
      <c r="E153" s="114">
        <v>2</v>
      </c>
      <c r="F153" s="114"/>
      <c r="G153" s="114">
        <v>30</v>
      </c>
      <c r="H153" s="114" t="s">
        <v>200</v>
      </c>
      <c r="I153" s="114" t="s">
        <v>201</v>
      </c>
      <c r="J153" s="114" t="s">
        <v>151</v>
      </c>
      <c r="K153" s="114" t="b">
        <v>1</v>
      </c>
      <c r="L153" s="191">
        <v>2013</v>
      </c>
      <c r="M153" s="115">
        <v>0.1421</v>
      </c>
      <c r="N153" s="116">
        <v>40673</v>
      </c>
      <c r="O153" s="116">
        <v>40673</v>
      </c>
    </row>
    <row r="154" spans="1:15" ht="14.25">
      <c r="A154" s="191">
        <v>2011</v>
      </c>
      <c r="B154" s="190">
        <v>2</v>
      </c>
      <c r="C154" s="190" t="s">
        <v>167</v>
      </c>
      <c r="D154" s="114">
        <v>1421042</v>
      </c>
      <c r="E154" s="114">
        <v>2</v>
      </c>
      <c r="F154" s="114"/>
      <c r="G154" s="114">
        <v>30</v>
      </c>
      <c r="H154" s="114" t="s">
        <v>200</v>
      </c>
      <c r="I154" s="114" t="s">
        <v>201</v>
      </c>
      <c r="J154" s="114" t="s">
        <v>151</v>
      </c>
      <c r="K154" s="114" t="b">
        <v>1</v>
      </c>
      <c r="L154" s="191">
        <v>2011</v>
      </c>
      <c r="M154" s="115">
        <v>0.2897</v>
      </c>
      <c r="N154" s="116">
        <v>40673</v>
      </c>
      <c r="O154" s="116">
        <v>40673</v>
      </c>
    </row>
    <row r="155" spans="1:15" ht="14.25">
      <c r="A155" s="191">
        <v>2011</v>
      </c>
      <c r="B155" s="190">
        <v>2</v>
      </c>
      <c r="C155" s="190" t="s">
        <v>167</v>
      </c>
      <c r="D155" s="114">
        <v>1421042</v>
      </c>
      <c r="E155" s="114">
        <v>2</v>
      </c>
      <c r="F155" s="114"/>
      <c r="G155" s="114">
        <v>30</v>
      </c>
      <c r="H155" s="114" t="s">
        <v>200</v>
      </c>
      <c r="I155" s="114" t="s">
        <v>201</v>
      </c>
      <c r="J155" s="114" t="s">
        <v>151</v>
      </c>
      <c r="K155" s="114" t="b">
        <v>1</v>
      </c>
      <c r="L155" s="191">
        <v>2017</v>
      </c>
      <c r="M155" s="115">
        <v>0.1993</v>
      </c>
      <c r="N155" s="116">
        <v>40673</v>
      </c>
      <c r="O155" s="116">
        <v>40673</v>
      </c>
    </row>
    <row r="156" spans="1:15" ht="14.25">
      <c r="A156" s="191">
        <v>2011</v>
      </c>
      <c r="B156" s="190">
        <v>2</v>
      </c>
      <c r="C156" s="190" t="s">
        <v>167</v>
      </c>
      <c r="D156" s="114">
        <v>1421042</v>
      </c>
      <c r="E156" s="114">
        <v>2</v>
      </c>
      <c r="F156" s="114"/>
      <c r="G156" s="114">
        <v>30</v>
      </c>
      <c r="H156" s="114" t="s">
        <v>200</v>
      </c>
      <c r="I156" s="114" t="s">
        <v>201</v>
      </c>
      <c r="J156" s="114" t="s">
        <v>151</v>
      </c>
      <c r="K156" s="114" t="b">
        <v>1</v>
      </c>
      <c r="L156" s="191">
        <v>2016</v>
      </c>
      <c r="M156" s="115">
        <v>0.1874</v>
      </c>
      <c r="N156" s="116">
        <v>40673</v>
      </c>
      <c r="O156" s="116">
        <v>40673</v>
      </c>
    </row>
    <row r="157" spans="1:15" ht="14.25">
      <c r="A157" s="191">
        <v>2011</v>
      </c>
      <c r="B157" s="190">
        <v>2</v>
      </c>
      <c r="C157" s="190" t="s">
        <v>167</v>
      </c>
      <c r="D157" s="114">
        <v>1421042</v>
      </c>
      <c r="E157" s="114">
        <v>2</v>
      </c>
      <c r="F157" s="114"/>
      <c r="G157" s="114">
        <v>30</v>
      </c>
      <c r="H157" s="114" t="s">
        <v>200</v>
      </c>
      <c r="I157" s="114" t="s">
        <v>201</v>
      </c>
      <c r="J157" s="114" t="s">
        <v>151</v>
      </c>
      <c r="K157" s="114" t="b">
        <v>1</v>
      </c>
      <c r="L157" s="191">
        <v>2012</v>
      </c>
      <c r="M157" s="115">
        <v>0.2107</v>
      </c>
      <c r="N157" s="116">
        <v>40673</v>
      </c>
      <c r="O157" s="116">
        <v>40673</v>
      </c>
    </row>
    <row r="158" spans="1:15" ht="14.25">
      <c r="A158" s="191">
        <v>2011</v>
      </c>
      <c r="B158" s="190">
        <v>2</v>
      </c>
      <c r="C158" s="190" t="s">
        <v>167</v>
      </c>
      <c r="D158" s="114">
        <v>1421042</v>
      </c>
      <c r="E158" s="114">
        <v>2</v>
      </c>
      <c r="F158" s="114"/>
      <c r="G158" s="114">
        <v>30</v>
      </c>
      <c r="H158" s="114" t="s">
        <v>200</v>
      </c>
      <c r="I158" s="114" t="s">
        <v>201</v>
      </c>
      <c r="J158" s="114" t="s">
        <v>151</v>
      </c>
      <c r="K158" s="114" t="b">
        <v>1</v>
      </c>
      <c r="L158" s="191">
        <v>2019</v>
      </c>
      <c r="M158" s="115">
        <v>0.2185</v>
      </c>
      <c r="N158" s="116">
        <v>40673</v>
      </c>
      <c r="O158" s="116">
        <v>40673</v>
      </c>
    </row>
    <row r="159" spans="1:15" ht="14.25">
      <c r="A159" s="191">
        <v>2011</v>
      </c>
      <c r="B159" s="190">
        <v>2</v>
      </c>
      <c r="C159" s="190" t="s">
        <v>167</v>
      </c>
      <c r="D159" s="114">
        <v>1421042</v>
      </c>
      <c r="E159" s="114">
        <v>2</v>
      </c>
      <c r="F159" s="114"/>
      <c r="G159" s="114">
        <v>30</v>
      </c>
      <c r="H159" s="114" t="s">
        <v>200</v>
      </c>
      <c r="I159" s="114" t="s">
        <v>201</v>
      </c>
      <c r="J159" s="114" t="s">
        <v>151</v>
      </c>
      <c r="K159" s="114" t="b">
        <v>1</v>
      </c>
      <c r="L159" s="191">
        <v>2015</v>
      </c>
      <c r="M159" s="115">
        <v>0.1665</v>
      </c>
      <c r="N159" s="116">
        <v>40673</v>
      </c>
      <c r="O159" s="116">
        <v>40673</v>
      </c>
    </row>
    <row r="160" spans="1:15" ht="14.25">
      <c r="A160" s="191">
        <v>2011</v>
      </c>
      <c r="B160" s="190">
        <v>2</v>
      </c>
      <c r="C160" s="190" t="s">
        <v>167</v>
      </c>
      <c r="D160" s="114">
        <v>1421042</v>
      </c>
      <c r="E160" s="114">
        <v>2</v>
      </c>
      <c r="F160" s="114"/>
      <c r="G160" s="114">
        <v>16</v>
      </c>
      <c r="H160" s="114">
        <v>7</v>
      </c>
      <c r="I160" s="114" t="s">
        <v>202</v>
      </c>
      <c r="J160" s="114" t="s">
        <v>22</v>
      </c>
      <c r="K160" s="114" t="b">
        <v>1</v>
      </c>
      <c r="L160" s="191">
        <v>2019</v>
      </c>
      <c r="M160" s="115">
        <v>7247780</v>
      </c>
      <c r="N160" s="116">
        <v>40673</v>
      </c>
      <c r="O160" s="116">
        <v>40673</v>
      </c>
    </row>
    <row r="161" spans="1:15" ht="14.25">
      <c r="A161" s="191">
        <v>2011</v>
      </c>
      <c r="B161" s="190">
        <v>2</v>
      </c>
      <c r="C161" s="190" t="s">
        <v>167</v>
      </c>
      <c r="D161" s="114">
        <v>1421042</v>
      </c>
      <c r="E161" s="114">
        <v>2</v>
      </c>
      <c r="F161" s="114"/>
      <c r="G161" s="114">
        <v>16</v>
      </c>
      <c r="H161" s="114">
        <v>7</v>
      </c>
      <c r="I161" s="114" t="s">
        <v>202</v>
      </c>
      <c r="J161" s="114" t="s">
        <v>22</v>
      </c>
      <c r="K161" s="114" t="b">
        <v>1</v>
      </c>
      <c r="L161" s="191">
        <v>2013</v>
      </c>
      <c r="M161" s="115">
        <v>8885242</v>
      </c>
      <c r="N161" s="116">
        <v>40673</v>
      </c>
      <c r="O161" s="116">
        <v>40673</v>
      </c>
    </row>
    <row r="162" spans="1:15" ht="14.25">
      <c r="A162" s="191">
        <v>2011</v>
      </c>
      <c r="B162" s="190">
        <v>2</v>
      </c>
      <c r="C162" s="190" t="s">
        <v>167</v>
      </c>
      <c r="D162" s="114">
        <v>1421042</v>
      </c>
      <c r="E162" s="114">
        <v>2</v>
      </c>
      <c r="F162" s="114"/>
      <c r="G162" s="114">
        <v>16</v>
      </c>
      <c r="H162" s="114">
        <v>7</v>
      </c>
      <c r="I162" s="114" t="s">
        <v>202</v>
      </c>
      <c r="J162" s="114" t="s">
        <v>22</v>
      </c>
      <c r="K162" s="114" t="b">
        <v>1</v>
      </c>
      <c r="L162" s="191">
        <v>2012</v>
      </c>
      <c r="M162" s="115">
        <v>7957382</v>
      </c>
      <c r="N162" s="116">
        <v>40673</v>
      </c>
      <c r="O162" s="116">
        <v>40673</v>
      </c>
    </row>
    <row r="163" spans="1:15" ht="14.25">
      <c r="A163" s="191">
        <v>2011</v>
      </c>
      <c r="B163" s="190">
        <v>2</v>
      </c>
      <c r="C163" s="190" t="s">
        <v>167</v>
      </c>
      <c r="D163" s="114">
        <v>1421042</v>
      </c>
      <c r="E163" s="114">
        <v>2</v>
      </c>
      <c r="F163" s="114"/>
      <c r="G163" s="114">
        <v>16</v>
      </c>
      <c r="H163" s="114">
        <v>7</v>
      </c>
      <c r="I163" s="114" t="s">
        <v>202</v>
      </c>
      <c r="J163" s="114" t="s">
        <v>22</v>
      </c>
      <c r="K163" s="114" t="b">
        <v>1</v>
      </c>
      <c r="L163" s="191">
        <v>2011</v>
      </c>
      <c r="M163" s="115">
        <v>7542527</v>
      </c>
      <c r="N163" s="116">
        <v>40673</v>
      </c>
      <c r="O163" s="116">
        <v>40673</v>
      </c>
    </row>
    <row r="164" spans="1:15" ht="14.25">
      <c r="A164" s="191">
        <v>2011</v>
      </c>
      <c r="B164" s="190">
        <v>2</v>
      </c>
      <c r="C164" s="190" t="s">
        <v>167</v>
      </c>
      <c r="D164" s="114">
        <v>1421042</v>
      </c>
      <c r="E164" s="114">
        <v>2</v>
      </c>
      <c r="F164" s="114"/>
      <c r="G164" s="114">
        <v>16</v>
      </c>
      <c r="H164" s="114">
        <v>7</v>
      </c>
      <c r="I164" s="114" t="s">
        <v>202</v>
      </c>
      <c r="J164" s="114" t="s">
        <v>22</v>
      </c>
      <c r="K164" s="114" t="b">
        <v>1</v>
      </c>
      <c r="L164" s="191">
        <v>2016</v>
      </c>
      <c r="M164" s="115">
        <v>8041823</v>
      </c>
      <c r="N164" s="116">
        <v>40673</v>
      </c>
      <c r="O164" s="116">
        <v>40673</v>
      </c>
    </row>
    <row r="165" spans="1:15" ht="14.25">
      <c r="A165" s="191">
        <v>2011</v>
      </c>
      <c r="B165" s="190">
        <v>2</v>
      </c>
      <c r="C165" s="190" t="s">
        <v>167</v>
      </c>
      <c r="D165" s="114">
        <v>1421042</v>
      </c>
      <c r="E165" s="114">
        <v>2</v>
      </c>
      <c r="F165" s="114"/>
      <c r="G165" s="114">
        <v>16</v>
      </c>
      <c r="H165" s="114">
        <v>7</v>
      </c>
      <c r="I165" s="114" t="s">
        <v>202</v>
      </c>
      <c r="J165" s="114" t="s">
        <v>22</v>
      </c>
      <c r="K165" s="114" t="b">
        <v>1</v>
      </c>
      <c r="L165" s="191">
        <v>2018</v>
      </c>
      <c r="M165" s="115">
        <v>7581180</v>
      </c>
      <c r="N165" s="116">
        <v>40673</v>
      </c>
      <c r="O165" s="116">
        <v>40673</v>
      </c>
    </row>
    <row r="166" spans="1:15" ht="14.25">
      <c r="A166" s="191">
        <v>2011</v>
      </c>
      <c r="B166" s="190">
        <v>2</v>
      </c>
      <c r="C166" s="190" t="s">
        <v>167</v>
      </c>
      <c r="D166" s="114">
        <v>1421042</v>
      </c>
      <c r="E166" s="114">
        <v>2</v>
      </c>
      <c r="F166" s="114"/>
      <c r="G166" s="114">
        <v>16</v>
      </c>
      <c r="H166" s="114">
        <v>7</v>
      </c>
      <c r="I166" s="114" t="s">
        <v>202</v>
      </c>
      <c r="J166" s="114" t="s">
        <v>22</v>
      </c>
      <c r="K166" s="114" t="b">
        <v>1</v>
      </c>
      <c r="L166" s="191">
        <v>2020</v>
      </c>
      <c r="M166" s="115">
        <v>11263645</v>
      </c>
      <c r="N166" s="116">
        <v>40673</v>
      </c>
      <c r="O166" s="116">
        <v>40673</v>
      </c>
    </row>
    <row r="167" spans="1:15" ht="14.25">
      <c r="A167" s="191">
        <v>2011</v>
      </c>
      <c r="B167" s="190">
        <v>2</v>
      </c>
      <c r="C167" s="190" t="s">
        <v>167</v>
      </c>
      <c r="D167" s="114">
        <v>1421042</v>
      </c>
      <c r="E167" s="114">
        <v>2</v>
      </c>
      <c r="F167" s="114"/>
      <c r="G167" s="114">
        <v>16</v>
      </c>
      <c r="H167" s="114">
        <v>7</v>
      </c>
      <c r="I167" s="114" t="s">
        <v>202</v>
      </c>
      <c r="J167" s="114" t="s">
        <v>22</v>
      </c>
      <c r="K167" s="114" t="b">
        <v>1</v>
      </c>
      <c r="L167" s="191">
        <v>2014</v>
      </c>
      <c r="M167" s="115">
        <v>8624852</v>
      </c>
      <c r="N167" s="116">
        <v>40673</v>
      </c>
      <c r="O167" s="116">
        <v>40673</v>
      </c>
    </row>
    <row r="168" spans="1:15" ht="14.25">
      <c r="A168" s="191">
        <v>2011</v>
      </c>
      <c r="B168" s="190">
        <v>2</v>
      </c>
      <c r="C168" s="190" t="s">
        <v>167</v>
      </c>
      <c r="D168" s="114">
        <v>1421042</v>
      </c>
      <c r="E168" s="114">
        <v>2</v>
      </c>
      <c r="F168" s="114"/>
      <c r="G168" s="114">
        <v>16</v>
      </c>
      <c r="H168" s="114">
        <v>7</v>
      </c>
      <c r="I168" s="114" t="s">
        <v>202</v>
      </c>
      <c r="J168" s="114" t="s">
        <v>22</v>
      </c>
      <c r="K168" s="114" t="b">
        <v>1</v>
      </c>
      <c r="L168" s="191">
        <v>2015</v>
      </c>
      <c r="M168" s="115">
        <v>8298317</v>
      </c>
      <c r="N168" s="116">
        <v>40673</v>
      </c>
      <c r="O168" s="116">
        <v>40673</v>
      </c>
    </row>
    <row r="169" spans="1:15" ht="14.25">
      <c r="A169" s="191">
        <v>2011</v>
      </c>
      <c r="B169" s="190">
        <v>2</v>
      </c>
      <c r="C169" s="190" t="s">
        <v>167</v>
      </c>
      <c r="D169" s="114">
        <v>1421042</v>
      </c>
      <c r="E169" s="114">
        <v>2</v>
      </c>
      <c r="F169" s="114"/>
      <c r="G169" s="114">
        <v>16</v>
      </c>
      <c r="H169" s="114">
        <v>7</v>
      </c>
      <c r="I169" s="114" t="s">
        <v>202</v>
      </c>
      <c r="J169" s="114" t="s">
        <v>22</v>
      </c>
      <c r="K169" s="114" t="b">
        <v>1</v>
      </c>
      <c r="L169" s="191">
        <v>2017</v>
      </c>
      <c r="M169" s="115">
        <v>8107379</v>
      </c>
      <c r="N169" s="116">
        <v>40673</v>
      </c>
      <c r="O169" s="116">
        <v>40673</v>
      </c>
    </row>
    <row r="170" spans="1:15" ht="14.25">
      <c r="A170" s="191">
        <v>2011</v>
      </c>
      <c r="B170" s="190">
        <v>2</v>
      </c>
      <c r="C170" s="190" t="s">
        <v>167</v>
      </c>
      <c r="D170" s="114">
        <v>1421042</v>
      </c>
      <c r="E170" s="114">
        <v>2</v>
      </c>
      <c r="F170" s="114"/>
      <c r="G170" s="114">
        <v>6</v>
      </c>
      <c r="H170" s="114" t="s">
        <v>203</v>
      </c>
      <c r="I170" s="114"/>
      <c r="J170" s="114" t="s">
        <v>204</v>
      </c>
      <c r="K170" s="114" t="b">
        <v>0</v>
      </c>
      <c r="L170" s="191">
        <v>2020</v>
      </c>
      <c r="M170" s="115">
        <v>41224900</v>
      </c>
      <c r="N170" s="116">
        <v>40673</v>
      </c>
      <c r="O170" s="116">
        <v>40673</v>
      </c>
    </row>
    <row r="171" spans="1:15" ht="14.25">
      <c r="A171" s="191">
        <v>2011</v>
      </c>
      <c r="B171" s="190">
        <v>2</v>
      </c>
      <c r="C171" s="190" t="s">
        <v>167</v>
      </c>
      <c r="D171" s="114">
        <v>1421042</v>
      </c>
      <c r="E171" s="114">
        <v>2</v>
      </c>
      <c r="F171" s="114"/>
      <c r="G171" s="114">
        <v>6</v>
      </c>
      <c r="H171" s="114" t="s">
        <v>203</v>
      </c>
      <c r="I171" s="114"/>
      <c r="J171" s="114" t="s">
        <v>204</v>
      </c>
      <c r="K171" s="114" t="b">
        <v>0</v>
      </c>
      <c r="L171" s="191">
        <v>2016</v>
      </c>
      <c r="M171" s="115">
        <v>32654050</v>
      </c>
      <c r="N171" s="116">
        <v>40673</v>
      </c>
      <c r="O171" s="116">
        <v>40673</v>
      </c>
    </row>
    <row r="172" spans="1:15" ht="14.25">
      <c r="A172" s="191">
        <v>2011</v>
      </c>
      <c r="B172" s="190">
        <v>2</v>
      </c>
      <c r="C172" s="190" t="s">
        <v>167</v>
      </c>
      <c r="D172" s="114">
        <v>1421042</v>
      </c>
      <c r="E172" s="114">
        <v>2</v>
      </c>
      <c r="F172" s="114"/>
      <c r="G172" s="114">
        <v>6</v>
      </c>
      <c r="H172" s="114" t="s">
        <v>203</v>
      </c>
      <c r="I172" s="114"/>
      <c r="J172" s="114" t="s">
        <v>204</v>
      </c>
      <c r="K172" s="114" t="b">
        <v>0</v>
      </c>
      <c r="L172" s="191">
        <v>2013</v>
      </c>
      <c r="M172" s="115">
        <v>27416970</v>
      </c>
      <c r="N172" s="116">
        <v>40673</v>
      </c>
      <c r="O172" s="116">
        <v>40673</v>
      </c>
    </row>
    <row r="173" spans="1:15" ht="14.25">
      <c r="A173" s="191">
        <v>2011</v>
      </c>
      <c r="B173" s="190">
        <v>2</v>
      </c>
      <c r="C173" s="190" t="s">
        <v>167</v>
      </c>
      <c r="D173" s="114">
        <v>1421042</v>
      </c>
      <c r="E173" s="114">
        <v>2</v>
      </c>
      <c r="F173" s="114"/>
      <c r="G173" s="114">
        <v>6</v>
      </c>
      <c r="H173" s="114" t="s">
        <v>203</v>
      </c>
      <c r="I173" s="114"/>
      <c r="J173" s="114" t="s">
        <v>204</v>
      </c>
      <c r="K173" s="114" t="b">
        <v>0</v>
      </c>
      <c r="L173" s="191">
        <v>2017</v>
      </c>
      <c r="M173" s="115">
        <v>34613300</v>
      </c>
      <c r="N173" s="116">
        <v>40673</v>
      </c>
      <c r="O173" s="116">
        <v>40673</v>
      </c>
    </row>
    <row r="174" spans="1:15" ht="14.25">
      <c r="A174" s="191">
        <v>2011</v>
      </c>
      <c r="B174" s="190">
        <v>2</v>
      </c>
      <c r="C174" s="190" t="s">
        <v>167</v>
      </c>
      <c r="D174" s="114">
        <v>1421042</v>
      </c>
      <c r="E174" s="114">
        <v>2</v>
      </c>
      <c r="F174" s="114"/>
      <c r="G174" s="114">
        <v>6</v>
      </c>
      <c r="H174" s="114" t="s">
        <v>203</v>
      </c>
      <c r="I174" s="114"/>
      <c r="J174" s="114" t="s">
        <v>204</v>
      </c>
      <c r="K174" s="114" t="b">
        <v>0</v>
      </c>
      <c r="L174" s="191">
        <v>2014</v>
      </c>
      <c r="M174" s="115">
        <v>29061900</v>
      </c>
      <c r="N174" s="116">
        <v>40673</v>
      </c>
      <c r="O174" s="116">
        <v>40673</v>
      </c>
    </row>
    <row r="175" spans="1:15" ht="14.25">
      <c r="A175" s="191">
        <v>2011</v>
      </c>
      <c r="B175" s="190">
        <v>2</v>
      </c>
      <c r="C175" s="190" t="s">
        <v>167</v>
      </c>
      <c r="D175" s="114">
        <v>1421042</v>
      </c>
      <c r="E175" s="114">
        <v>2</v>
      </c>
      <c r="F175" s="114"/>
      <c r="G175" s="114">
        <v>6</v>
      </c>
      <c r="H175" s="114" t="s">
        <v>203</v>
      </c>
      <c r="I175" s="114"/>
      <c r="J175" s="114" t="s">
        <v>204</v>
      </c>
      <c r="K175" s="114" t="b">
        <v>0</v>
      </c>
      <c r="L175" s="191">
        <v>2015</v>
      </c>
      <c r="M175" s="115">
        <v>30805700</v>
      </c>
      <c r="N175" s="116">
        <v>40673</v>
      </c>
      <c r="O175" s="116">
        <v>40673</v>
      </c>
    </row>
    <row r="176" spans="1:15" ht="14.25">
      <c r="A176" s="191">
        <v>2011</v>
      </c>
      <c r="B176" s="190">
        <v>2</v>
      </c>
      <c r="C176" s="190" t="s">
        <v>167</v>
      </c>
      <c r="D176" s="114">
        <v>1421042</v>
      </c>
      <c r="E176" s="114">
        <v>2</v>
      </c>
      <c r="F176" s="114"/>
      <c r="G176" s="114">
        <v>6</v>
      </c>
      <c r="H176" s="114" t="s">
        <v>203</v>
      </c>
      <c r="I176" s="114"/>
      <c r="J176" s="114" t="s">
        <v>204</v>
      </c>
      <c r="K176" s="114" t="b">
        <v>0</v>
      </c>
      <c r="L176" s="191">
        <v>2019</v>
      </c>
      <c r="M176" s="115">
        <v>38891500</v>
      </c>
      <c r="N176" s="116">
        <v>40673</v>
      </c>
      <c r="O176" s="116">
        <v>40673</v>
      </c>
    </row>
    <row r="177" spans="1:15" ht="14.25">
      <c r="A177" s="191">
        <v>2011</v>
      </c>
      <c r="B177" s="190">
        <v>2</v>
      </c>
      <c r="C177" s="190" t="s">
        <v>167</v>
      </c>
      <c r="D177" s="114">
        <v>1421042</v>
      </c>
      <c r="E177" s="114">
        <v>2</v>
      </c>
      <c r="F177" s="114"/>
      <c r="G177" s="114">
        <v>6</v>
      </c>
      <c r="H177" s="114" t="s">
        <v>203</v>
      </c>
      <c r="I177" s="114"/>
      <c r="J177" s="114" t="s">
        <v>204</v>
      </c>
      <c r="K177" s="114" t="b">
        <v>0</v>
      </c>
      <c r="L177" s="191">
        <v>2012</v>
      </c>
      <c r="M177" s="115">
        <v>26111400</v>
      </c>
      <c r="N177" s="116">
        <v>40673</v>
      </c>
      <c r="O177" s="116">
        <v>40673</v>
      </c>
    </row>
    <row r="178" spans="1:15" ht="14.25">
      <c r="A178" s="191">
        <v>2011</v>
      </c>
      <c r="B178" s="190">
        <v>2</v>
      </c>
      <c r="C178" s="190" t="s">
        <v>167</v>
      </c>
      <c r="D178" s="114">
        <v>1421042</v>
      </c>
      <c r="E178" s="114">
        <v>2</v>
      </c>
      <c r="F178" s="114"/>
      <c r="G178" s="114">
        <v>6</v>
      </c>
      <c r="H178" s="114" t="s">
        <v>203</v>
      </c>
      <c r="I178" s="114"/>
      <c r="J178" s="114" t="s">
        <v>204</v>
      </c>
      <c r="K178" s="114" t="b">
        <v>0</v>
      </c>
      <c r="L178" s="191">
        <v>2018</v>
      </c>
      <c r="M178" s="115">
        <v>36690100</v>
      </c>
      <c r="N178" s="116">
        <v>40673</v>
      </c>
      <c r="O178" s="116">
        <v>40673</v>
      </c>
    </row>
    <row r="179" spans="1:15" ht="14.25">
      <c r="A179" s="191">
        <v>2011</v>
      </c>
      <c r="B179" s="190">
        <v>2</v>
      </c>
      <c r="C179" s="190" t="s">
        <v>167</v>
      </c>
      <c r="D179" s="114">
        <v>1421042</v>
      </c>
      <c r="E179" s="114">
        <v>2</v>
      </c>
      <c r="F179" s="114"/>
      <c r="G179" s="114">
        <v>6</v>
      </c>
      <c r="H179" s="114" t="s">
        <v>203</v>
      </c>
      <c r="I179" s="114"/>
      <c r="J179" s="114" t="s">
        <v>204</v>
      </c>
      <c r="K179" s="114" t="b">
        <v>0</v>
      </c>
      <c r="L179" s="191">
        <v>2011</v>
      </c>
      <c r="M179" s="115">
        <v>24557857</v>
      </c>
      <c r="N179" s="116">
        <v>40673</v>
      </c>
      <c r="O179" s="116">
        <v>40673</v>
      </c>
    </row>
    <row r="180" spans="1:15" ht="14.25">
      <c r="A180" s="191">
        <v>2011</v>
      </c>
      <c r="B180" s="190">
        <v>2</v>
      </c>
      <c r="C180" s="190" t="s">
        <v>167</v>
      </c>
      <c r="D180" s="114">
        <v>1421042</v>
      </c>
      <c r="E180" s="114">
        <v>2</v>
      </c>
      <c r="F180" s="114"/>
      <c r="G180" s="114">
        <v>23</v>
      </c>
      <c r="H180" s="114">
        <v>11</v>
      </c>
      <c r="I180" s="114"/>
      <c r="J180" s="114" t="s">
        <v>32</v>
      </c>
      <c r="K180" s="114" t="b">
        <v>1</v>
      </c>
      <c r="L180" s="191">
        <v>2013</v>
      </c>
      <c r="M180" s="115">
        <v>8000000</v>
      </c>
      <c r="N180" s="116">
        <v>40673</v>
      </c>
      <c r="O180" s="116">
        <v>40673</v>
      </c>
    </row>
    <row r="181" spans="1:15" ht="14.25">
      <c r="A181" s="191">
        <v>2011</v>
      </c>
      <c r="B181" s="190">
        <v>2</v>
      </c>
      <c r="C181" s="190" t="s">
        <v>167</v>
      </c>
      <c r="D181" s="114">
        <v>1421042</v>
      </c>
      <c r="E181" s="114">
        <v>2</v>
      </c>
      <c r="F181" s="114"/>
      <c r="G181" s="114">
        <v>23</v>
      </c>
      <c r="H181" s="114">
        <v>11</v>
      </c>
      <c r="I181" s="114"/>
      <c r="J181" s="114" t="s">
        <v>32</v>
      </c>
      <c r="K181" s="114" t="b">
        <v>1</v>
      </c>
      <c r="L181" s="191">
        <v>2012</v>
      </c>
      <c r="M181" s="115">
        <v>12700000</v>
      </c>
      <c r="N181" s="116">
        <v>40673</v>
      </c>
      <c r="O181" s="116">
        <v>40673</v>
      </c>
    </row>
    <row r="182" spans="1:15" ht="14.25">
      <c r="A182" s="191">
        <v>2011</v>
      </c>
      <c r="B182" s="190">
        <v>2</v>
      </c>
      <c r="C182" s="190" t="s">
        <v>167</v>
      </c>
      <c r="D182" s="114">
        <v>1421042</v>
      </c>
      <c r="E182" s="114">
        <v>2</v>
      </c>
      <c r="F182" s="114"/>
      <c r="G182" s="114">
        <v>23</v>
      </c>
      <c r="H182" s="114">
        <v>11</v>
      </c>
      <c r="I182" s="114"/>
      <c r="J182" s="114" t="s">
        <v>32</v>
      </c>
      <c r="K182" s="114" t="b">
        <v>1</v>
      </c>
      <c r="L182" s="191">
        <v>2014</v>
      </c>
      <c r="M182" s="115">
        <v>8000000</v>
      </c>
      <c r="N182" s="116">
        <v>40673</v>
      </c>
      <c r="O182" s="116">
        <v>40673</v>
      </c>
    </row>
    <row r="183" spans="1:15" ht="14.25">
      <c r="A183" s="191">
        <v>2011</v>
      </c>
      <c r="B183" s="190">
        <v>2</v>
      </c>
      <c r="C183" s="190" t="s">
        <v>167</v>
      </c>
      <c r="D183" s="114">
        <v>1421042</v>
      </c>
      <c r="E183" s="114">
        <v>2</v>
      </c>
      <c r="F183" s="114"/>
      <c r="G183" s="114">
        <v>23</v>
      </c>
      <c r="H183" s="114">
        <v>11</v>
      </c>
      <c r="I183" s="114"/>
      <c r="J183" s="114" t="s">
        <v>32</v>
      </c>
      <c r="K183" s="114" t="b">
        <v>1</v>
      </c>
      <c r="L183" s="191">
        <v>2011</v>
      </c>
      <c r="M183" s="115">
        <v>8800000</v>
      </c>
      <c r="N183" s="116">
        <v>40673</v>
      </c>
      <c r="O183" s="116">
        <v>40673</v>
      </c>
    </row>
    <row r="184" spans="1:15" ht="14.25">
      <c r="A184" s="191">
        <v>2011</v>
      </c>
      <c r="B184" s="190">
        <v>2</v>
      </c>
      <c r="C184" s="190" t="s">
        <v>167</v>
      </c>
      <c r="D184" s="114">
        <v>1421042</v>
      </c>
      <c r="E184" s="114">
        <v>2</v>
      </c>
      <c r="F184" s="114"/>
      <c r="G184" s="114">
        <v>32</v>
      </c>
      <c r="H184" s="114" t="s">
        <v>205</v>
      </c>
      <c r="I184" s="114" t="s">
        <v>206</v>
      </c>
      <c r="J184" s="114" t="s">
        <v>207</v>
      </c>
      <c r="K184" s="114" t="b">
        <v>1</v>
      </c>
      <c r="L184" s="191">
        <v>2014</v>
      </c>
      <c r="M184" s="115">
        <v>0.1864</v>
      </c>
      <c r="N184" s="116">
        <v>40673</v>
      </c>
      <c r="O184" s="116">
        <v>40673</v>
      </c>
    </row>
    <row r="185" spans="1:15" ht="14.25">
      <c r="A185" s="191">
        <v>2011</v>
      </c>
      <c r="B185" s="190">
        <v>2</v>
      </c>
      <c r="C185" s="190" t="s">
        <v>167</v>
      </c>
      <c r="D185" s="114">
        <v>1421042</v>
      </c>
      <c r="E185" s="114">
        <v>2</v>
      </c>
      <c r="F185" s="114"/>
      <c r="G185" s="114">
        <v>32</v>
      </c>
      <c r="H185" s="114" t="s">
        <v>205</v>
      </c>
      <c r="I185" s="114" t="s">
        <v>206</v>
      </c>
      <c r="J185" s="114" t="s">
        <v>207</v>
      </c>
      <c r="K185" s="114" t="b">
        <v>1</v>
      </c>
      <c r="L185" s="191">
        <v>2018</v>
      </c>
      <c r="M185" s="115">
        <v>0.2317</v>
      </c>
      <c r="N185" s="116">
        <v>40673</v>
      </c>
      <c r="O185" s="116">
        <v>40673</v>
      </c>
    </row>
    <row r="186" spans="1:15" ht="14.25">
      <c r="A186" s="191">
        <v>2011</v>
      </c>
      <c r="B186" s="190">
        <v>2</v>
      </c>
      <c r="C186" s="190" t="s">
        <v>167</v>
      </c>
      <c r="D186" s="114">
        <v>1421042</v>
      </c>
      <c r="E186" s="114">
        <v>2</v>
      </c>
      <c r="F186" s="114"/>
      <c r="G186" s="114">
        <v>32</v>
      </c>
      <c r="H186" s="114" t="s">
        <v>205</v>
      </c>
      <c r="I186" s="114" t="s">
        <v>206</v>
      </c>
      <c r="J186" s="114" t="s">
        <v>207</v>
      </c>
      <c r="K186" s="114" t="b">
        <v>1</v>
      </c>
      <c r="L186" s="191">
        <v>2015</v>
      </c>
      <c r="M186" s="115">
        <v>0.2045</v>
      </c>
      <c r="N186" s="116">
        <v>40673</v>
      </c>
      <c r="O186" s="116">
        <v>40673</v>
      </c>
    </row>
    <row r="187" spans="1:15" ht="14.25">
      <c r="A187" s="191">
        <v>2011</v>
      </c>
      <c r="B187" s="190">
        <v>2</v>
      </c>
      <c r="C187" s="190" t="s">
        <v>167</v>
      </c>
      <c r="D187" s="114">
        <v>1421042</v>
      </c>
      <c r="E187" s="114">
        <v>2</v>
      </c>
      <c r="F187" s="114"/>
      <c r="G187" s="114">
        <v>32</v>
      </c>
      <c r="H187" s="114" t="s">
        <v>205</v>
      </c>
      <c r="I187" s="114" t="s">
        <v>206</v>
      </c>
      <c r="J187" s="114" t="s">
        <v>207</v>
      </c>
      <c r="K187" s="114" t="b">
        <v>1</v>
      </c>
      <c r="L187" s="191">
        <v>2012</v>
      </c>
      <c r="M187" s="115">
        <v>0.1418</v>
      </c>
      <c r="N187" s="116">
        <v>40673</v>
      </c>
      <c r="O187" s="116">
        <v>40673</v>
      </c>
    </row>
    <row r="188" spans="1:15" ht="14.25">
      <c r="A188" s="191">
        <v>2011</v>
      </c>
      <c r="B188" s="190">
        <v>2</v>
      </c>
      <c r="C188" s="190" t="s">
        <v>167</v>
      </c>
      <c r="D188" s="114">
        <v>1421042</v>
      </c>
      <c r="E188" s="114">
        <v>2</v>
      </c>
      <c r="F188" s="114"/>
      <c r="G188" s="114">
        <v>32</v>
      </c>
      <c r="H188" s="114" t="s">
        <v>205</v>
      </c>
      <c r="I188" s="114" t="s">
        <v>206</v>
      </c>
      <c r="J188" s="114" t="s">
        <v>207</v>
      </c>
      <c r="K188" s="114" t="b">
        <v>1</v>
      </c>
      <c r="L188" s="191">
        <v>2019</v>
      </c>
      <c r="M188" s="115">
        <v>0.2466</v>
      </c>
      <c r="N188" s="116">
        <v>40673</v>
      </c>
      <c r="O188" s="116">
        <v>40673</v>
      </c>
    </row>
    <row r="189" spans="1:15" ht="14.25">
      <c r="A189" s="191">
        <v>2011</v>
      </c>
      <c r="B189" s="190">
        <v>2</v>
      </c>
      <c r="C189" s="190" t="s">
        <v>167</v>
      </c>
      <c r="D189" s="114">
        <v>1421042</v>
      </c>
      <c r="E189" s="114">
        <v>2</v>
      </c>
      <c r="F189" s="114"/>
      <c r="G189" s="114">
        <v>32</v>
      </c>
      <c r="H189" s="114" t="s">
        <v>205</v>
      </c>
      <c r="I189" s="114" t="s">
        <v>206</v>
      </c>
      <c r="J189" s="114" t="s">
        <v>207</v>
      </c>
      <c r="K189" s="114" t="b">
        <v>1</v>
      </c>
      <c r="L189" s="191">
        <v>2016</v>
      </c>
      <c r="M189" s="115">
        <v>0.207</v>
      </c>
      <c r="N189" s="116">
        <v>40673</v>
      </c>
      <c r="O189" s="116">
        <v>40673</v>
      </c>
    </row>
    <row r="190" spans="1:15" ht="14.25">
      <c r="A190" s="191">
        <v>2011</v>
      </c>
      <c r="B190" s="190">
        <v>2</v>
      </c>
      <c r="C190" s="190" t="s">
        <v>167</v>
      </c>
      <c r="D190" s="114">
        <v>1421042</v>
      </c>
      <c r="E190" s="114">
        <v>2</v>
      </c>
      <c r="F190" s="114"/>
      <c r="G190" s="114">
        <v>32</v>
      </c>
      <c r="H190" s="114" t="s">
        <v>205</v>
      </c>
      <c r="I190" s="114" t="s">
        <v>206</v>
      </c>
      <c r="J190" s="114" t="s">
        <v>207</v>
      </c>
      <c r="K190" s="114" t="b">
        <v>1</v>
      </c>
      <c r="L190" s="191">
        <v>2011</v>
      </c>
      <c r="M190" s="115">
        <v>0.1077</v>
      </c>
      <c r="N190" s="116">
        <v>40673</v>
      </c>
      <c r="O190" s="116">
        <v>40673</v>
      </c>
    </row>
    <row r="191" spans="1:15" ht="14.25">
      <c r="A191" s="191">
        <v>2011</v>
      </c>
      <c r="B191" s="190">
        <v>2</v>
      </c>
      <c r="C191" s="190" t="s">
        <v>167</v>
      </c>
      <c r="D191" s="114">
        <v>1421042</v>
      </c>
      <c r="E191" s="114">
        <v>2</v>
      </c>
      <c r="F191" s="114"/>
      <c r="G191" s="114">
        <v>32</v>
      </c>
      <c r="H191" s="114" t="s">
        <v>205</v>
      </c>
      <c r="I191" s="114" t="s">
        <v>206</v>
      </c>
      <c r="J191" s="114" t="s">
        <v>207</v>
      </c>
      <c r="K191" s="114" t="b">
        <v>1</v>
      </c>
      <c r="L191" s="191">
        <v>2013</v>
      </c>
      <c r="M191" s="115">
        <v>0.1714</v>
      </c>
      <c r="N191" s="116">
        <v>40673</v>
      </c>
      <c r="O191" s="116">
        <v>40673</v>
      </c>
    </row>
    <row r="192" spans="1:15" ht="14.25">
      <c r="A192" s="191">
        <v>2011</v>
      </c>
      <c r="B192" s="190">
        <v>2</v>
      </c>
      <c r="C192" s="190" t="s">
        <v>167</v>
      </c>
      <c r="D192" s="114">
        <v>1421042</v>
      </c>
      <c r="E192" s="114">
        <v>2</v>
      </c>
      <c r="F192" s="114"/>
      <c r="G192" s="114">
        <v>32</v>
      </c>
      <c r="H192" s="114" t="s">
        <v>205</v>
      </c>
      <c r="I192" s="114" t="s">
        <v>206</v>
      </c>
      <c r="J192" s="114" t="s">
        <v>207</v>
      </c>
      <c r="K192" s="114" t="b">
        <v>1</v>
      </c>
      <c r="L192" s="191">
        <v>2020</v>
      </c>
      <c r="M192" s="115">
        <v>0.271</v>
      </c>
      <c r="N192" s="116">
        <v>40673</v>
      </c>
      <c r="O192" s="116">
        <v>40673</v>
      </c>
    </row>
    <row r="193" spans="1:15" ht="14.25">
      <c r="A193" s="191">
        <v>2011</v>
      </c>
      <c r="B193" s="190">
        <v>2</v>
      </c>
      <c r="C193" s="190" t="s">
        <v>167</v>
      </c>
      <c r="D193" s="114">
        <v>1421042</v>
      </c>
      <c r="E193" s="114">
        <v>2</v>
      </c>
      <c r="F193" s="114"/>
      <c r="G193" s="114">
        <v>32</v>
      </c>
      <c r="H193" s="114" t="s">
        <v>205</v>
      </c>
      <c r="I193" s="114" t="s">
        <v>206</v>
      </c>
      <c r="J193" s="114" t="s">
        <v>207</v>
      </c>
      <c r="K193" s="114" t="b">
        <v>1</v>
      </c>
      <c r="L193" s="191">
        <v>2017</v>
      </c>
      <c r="M193" s="115">
        <v>0.2169</v>
      </c>
      <c r="N193" s="116">
        <v>40673</v>
      </c>
      <c r="O193" s="116">
        <v>40673</v>
      </c>
    </row>
    <row r="194" spans="1:15" ht="14.25">
      <c r="A194" s="191">
        <v>2011</v>
      </c>
      <c r="B194" s="190">
        <v>2</v>
      </c>
      <c r="C194" s="190" t="s">
        <v>167</v>
      </c>
      <c r="D194" s="114">
        <v>1421042</v>
      </c>
      <c r="E194" s="114">
        <v>2</v>
      </c>
      <c r="F194" s="114"/>
      <c r="G194" s="114">
        <v>33</v>
      </c>
      <c r="H194" s="114">
        <v>16</v>
      </c>
      <c r="I194" s="114" t="s">
        <v>208</v>
      </c>
      <c r="J194" s="114" t="s">
        <v>42</v>
      </c>
      <c r="K194" s="114" t="b">
        <v>1</v>
      </c>
      <c r="L194" s="191">
        <v>2017</v>
      </c>
      <c r="M194" s="115">
        <v>1187</v>
      </c>
      <c r="N194" s="116">
        <v>40673</v>
      </c>
      <c r="O194" s="116">
        <v>40673</v>
      </c>
    </row>
    <row r="195" spans="1:15" ht="14.25">
      <c r="A195" s="191">
        <v>2011</v>
      </c>
      <c r="B195" s="190">
        <v>2</v>
      </c>
      <c r="C195" s="190" t="s">
        <v>167</v>
      </c>
      <c r="D195" s="114">
        <v>1421042</v>
      </c>
      <c r="E195" s="114">
        <v>2</v>
      </c>
      <c r="F195" s="114"/>
      <c r="G195" s="114">
        <v>33</v>
      </c>
      <c r="H195" s="114">
        <v>16</v>
      </c>
      <c r="I195" s="114" t="s">
        <v>208</v>
      </c>
      <c r="J195" s="114" t="s">
        <v>42</v>
      </c>
      <c r="K195" s="114" t="b">
        <v>1</v>
      </c>
      <c r="L195" s="191">
        <v>2013</v>
      </c>
      <c r="M195" s="115">
        <v>327</v>
      </c>
      <c r="N195" s="116">
        <v>40673</v>
      </c>
      <c r="O195" s="116">
        <v>40673</v>
      </c>
    </row>
    <row r="196" spans="1:15" ht="14.25">
      <c r="A196" s="191">
        <v>2011</v>
      </c>
      <c r="B196" s="190">
        <v>2</v>
      </c>
      <c r="C196" s="190" t="s">
        <v>167</v>
      </c>
      <c r="D196" s="114">
        <v>1421042</v>
      </c>
      <c r="E196" s="114">
        <v>2</v>
      </c>
      <c r="F196" s="114"/>
      <c r="G196" s="114">
        <v>33</v>
      </c>
      <c r="H196" s="114">
        <v>16</v>
      </c>
      <c r="I196" s="114" t="s">
        <v>208</v>
      </c>
      <c r="J196" s="114" t="s">
        <v>42</v>
      </c>
      <c r="K196" s="114" t="b">
        <v>1</v>
      </c>
      <c r="L196" s="191">
        <v>2019</v>
      </c>
      <c r="M196" s="115">
        <v>1544</v>
      </c>
      <c r="N196" s="116">
        <v>40673</v>
      </c>
      <c r="O196" s="116">
        <v>40673</v>
      </c>
    </row>
    <row r="197" spans="1:15" ht="14.25">
      <c r="A197" s="191">
        <v>2011</v>
      </c>
      <c r="B197" s="190">
        <v>2</v>
      </c>
      <c r="C197" s="190" t="s">
        <v>167</v>
      </c>
      <c r="D197" s="114">
        <v>1421042</v>
      </c>
      <c r="E197" s="114">
        <v>2</v>
      </c>
      <c r="F197" s="114"/>
      <c r="G197" s="114">
        <v>33</v>
      </c>
      <c r="H197" s="114">
        <v>16</v>
      </c>
      <c r="I197" s="114" t="s">
        <v>208</v>
      </c>
      <c r="J197" s="114" t="s">
        <v>42</v>
      </c>
      <c r="K197" s="114" t="b">
        <v>1</v>
      </c>
      <c r="L197" s="191">
        <v>2014</v>
      </c>
      <c r="M197" s="115">
        <v>401</v>
      </c>
      <c r="N197" s="116">
        <v>40673</v>
      </c>
      <c r="O197" s="116">
        <v>40673</v>
      </c>
    </row>
    <row r="198" spans="1:15" ht="14.25">
      <c r="A198" s="191">
        <v>2011</v>
      </c>
      <c r="B198" s="190">
        <v>2</v>
      </c>
      <c r="C198" s="190" t="s">
        <v>167</v>
      </c>
      <c r="D198" s="114">
        <v>1421042</v>
      </c>
      <c r="E198" s="114">
        <v>2</v>
      </c>
      <c r="F198" s="114"/>
      <c r="G198" s="114">
        <v>33</v>
      </c>
      <c r="H198" s="114">
        <v>16</v>
      </c>
      <c r="I198" s="114" t="s">
        <v>208</v>
      </c>
      <c r="J198" s="114" t="s">
        <v>42</v>
      </c>
      <c r="K198" s="114" t="b">
        <v>1</v>
      </c>
      <c r="L198" s="191">
        <v>2018</v>
      </c>
      <c r="M198" s="115">
        <v>1384</v>
      </c>
      <c r="N198" s="116">
        <v>40673</v>
      </c>
      <c r="O198" s="116">
        <v>40673</v>
      </c>
    </row>
    <row r="199" spans="1:15" ht="14.25">
      <c r="A199" s="191">
        <v>2011</v>
      </c>
      <c r="B199" s="190">
        <v>2</v>
      </c>
      <c r="C199" s="190" t="s">
        <v>167</v>
      </c>
      <c r="D199" s="114">
        <v>1421042</v>
      </c>
      <c r="E199" s="114">
        <v>2</v>
      </c>
      <c r="F199" s="114"/>
      <c r="G199" s="114">
        <v>33</v>
      </c>
      <c r="H199" s="114">
        <v>16</v>
      </c>
      <c r="I199" s="114" t="s">
        <v>208</v>
      </c>
      <c r="J199" s="114" t="s">
        <v>42</v>
      </c>
      <c r="K199" s="114" t="b">
        <v>1</v>
      </c>
      <c r="L199" s="191">
        <v>2012</v>
      </c>
      <c r="M199" s="115">
        <v>1053</v>
      </c>
      <c r="N199" s="116">
        <v>40673</v>
      </c>
      <c r="O199" s="116">
        <v>40673</v>
      </c>
    </row>
    <row r="200" spans="1:15" ht="14.25">
      <c r="A200" s="191">
        <v>2011</v>
      </c>
      <c r="B200" s="190">
        <v>2</v>
      </c>
      <c r="C200" s="190" t="s">
        <v>167</v>
      </c>
      <c r="D200" s="114">
        <v>1421042</v>
      </c>
      <c r="E200" s="114">
        <v>2</v>
      </c>
      <c r="F200" s="114"/>
      <c r="G200" s="114">
        <v>33</v>
      </c>
      <c r="H200" s="114">
        <v>16</v>
      </c>
      <c r="I200" s="114" t="s">
        <v>208</v>
      </c>
      <c r="J200" s="114" t="s">
        <v>42</v>
      </c>
      <c r="K200" s="114" t="b">
        <v>1</v>
      </c>
      <c r="L200" s="191">
        <v>2020</v>
      </c>
      <c r="M200" s="115">
        <v>1353</v>
      </c>
      <c r="N200" s="116">
        <v>40673</v>
      </c>
      <c r="O200" s="116">
        <v>40673</v>
      </c>
    </row>
    <row r="201" spans="1:15" ht="14.25">
      <c r="A201" s="191">
        <v>2011</v>
      </c>
      <c r="B201" s="190">
        <v>2</v>
      </c>
      <c r="C201" s="190" t="s">
        <v>167</v>
      </c>
      <c r="D201" s="114">
        <v>1421042</v>
      </c>
      <c r="E201" s="114">
        <v>2</v>
      </c>
      <c r="F201" s="114"/>
      <c r="G201" s="114">
        <v>33</v>
      </c>
      <c r="H201" s="114">
        <v>16</v>
      </c>
      <c r="I201" s="114" t="s">
        <v>208</v>
      </c>
      <c r="J201" s="114" t="s">
        <v>42</v>
      </c>
      <c r="K201" s="114" t="b">
        <v>1</v>
      </c>
      <c r="L201" s="191">
        <v>2015</v>
      </c>
      <c r="M201" s="115">
        <v>758</v>
      </c>
      <c r="N201" s="116">
        <v>40673</v>
      </c>
      <c r="O201" s="116">
        <v>40673</v>
      </c>
    </row>
    <row r="202" spans="1:15" ht="14.25">
      <c r="A202" s="191">
        <v>2011</v>
      </c>
      <c r="B202" s="190">
        <v>2</v>
      </c>
      <c r="C202" s="190" t="s">
        <v>167</v>
      </c>
      <c r="D202" s="114">
        <v>1421042</v>
      </c>
      <c r="E202" s="114">
        <v>2</v>
      </c>
      <c r="F202" s="114"/>
      <c r="G202" s="114">
        <v>33</v>
      </c>
      <c r="H202" s="114">
        <v>16</v>
      </c>
      <c r="I202" s="114" t="s">
        <v>208</v>
      </c>
      <c r="J202" s="114" t="s">
        <v>42</v>
      </c>
      <c r="K202" s="114" t="b">
        <v>1</v>
      </c>
      <c r="L202" s="191">
        <v>2016</v>
      </c>
      <c r="M202" s="115">
        <v>1032</v>
      </c>
      <c r="N202" s="116">
        <v>40673</v>
      </c>
      <c r="O202" s="116">
        <v>40673</v>
      </c>
    </row>
    <row r="203" spans="1:15" ht="14.25">
      <c r="A203" s="191">
        <v>2011</v>
      </c>
      <c r="B203" s="190">
        <v>2</v>
      </c>
      <c r="C203" s="190" t="s">
        <v>167</v>
      </c>
      <c r="D203" s="114">
        <v>1421042</v>
      </c>
      <c r="E203" s="114">
        <v>2</v>
      </c>
      <c r="F203" s="114"/>
      <c r="G203" s="114">
        <v>33</v>
      </c>
      <c r="H203" s="114">
        <v>16</v>
      </c>
      <c r="I203" s="114" t="s">
        <v>208</v>
      </c>
      <c r="J203" s="114" t="s">
        <v>42</v>
      </c>
      <c r="K203" s="114" t="b">
        <v>1</v>
      </c>
      <c r="L203" s="191">
        <v>2011</v>
      </c>
      <c r="M203" s="115">
        <v>1941</v>
      </c>
      <c r="N203" s="116">
        <v>40673</v>
      </c>
      <c r="O203" s="116">
        <v>40673</v>
      </c>
    </row>
    <row r="204" spans="1:15" ht="14.25">
      <c r="A204" s="191">
        <v>2011</v>
      </c>
      <c r="B204" s="190">
        <v>2</v>
      </c>
      <c r="C204" s="190" t="s">
        <v>167</v>
      </c>
      <c r="D204" s="114">
        <v>1421042</v>
      </c>
      <c r="E204" s="114">
        <v>2</v>
      </c>
      <c r="F204" s="114"/>
      <c r="G204" s="114">
        <v>15</v>
      </c>
      <c r="H204" s="114">
        <v>6</v>
      </c>
      <c r="I204" s="114" t="s">
        <v>209</v>
      </c>
      <c r="J204" s="114" t="s">
        <v>210</v>
      </c>
      <c r="K204" s="114" t="b">
        <v>0</v>
      </c>
      <c r="L204" s="191">
        <v>2017</v>
      </c>
      <c r="M204" s="115">
        <v>23397519</v>
      </c>
      <c r="N204" s="116">
        <v>40673</v>
      </c>
      <c r="O204" s="116">
        <v>40673</v>
      </c>
    </row>
    <row r="205" spans="1:15" ht="14.25">
      <c r="A205" s="191">
        <v>2011</v>
      </c>
      <c r="B205" s="190">
        <v>2</v>
      </c>
      <c r="C205" s="190" t="s">
        <v>167</v>
      </c>
      <c r="D205" s="114">
        <v>1421042</v>
      </c>
      <c r="E205" s="114">
        <v>2</v>
      </c>
      <c r="F205" s="114"/>
      <c r="G205" s="114">
        <v>15</v>
      </c>
      <c r="H205" s="114">
        <v>6</v>
      </c>
      <c r="I205" s="114" t="s">
        <v>209</v>
      </c>
      <c r="J205" s="114" t="s">
        <v>210</v>
      </c>
      <c r="K205" s="114" t="b">
        <v>0</v>
      </c>
      <c r="L205" s="191">
        <v>2020</v>
      </c>
      <c r="M205" s="115">
        <v>32075344</v>
      </c>
      <c r="N205" s="116">
        <v>40673</v>
      </c>
      <c r="O205" s="116">
        <v>40673</v>
      </c>
    </row>
    <row r="206" spans="1:15" ht="14.25">
      <c r="A206" s="191">
        <v>2011</v>
      </c>
      <c r="B206" s="190">
        <v>2</v>
      </c>
      <c r="C206" s="190" t="s">
        <v>167</v>
      </c>
      <c r="D206" s="114">
        <v>1421042</v>
      </c>
      <c r="E206" s="114">
        <v>2</v>
      </c>
      <c r="F206" s="114"/>
      <c r="G206" s="114">
        <v>15</v>
      </c>
      <c r="H206" s="114">
        <v>6</v>
      </c>
      <c r="I206" s="114" t="s">
        <v>209</v>
      </c>
      <c r="J206" s="114" t="s">
        <v>210</v>
      </c>
      <c r="K206" s="114" t="b">
        <v>0</v>
      </c>
      <c r="L206" s="191">
        <v>2014</v>
      </c>
      <c r="M206" s="115">
        <v>18264571</v>
      </c>
      <c r="N206" s="116">
        <v>40673</v>
      </c>
      <c r="O206" s="116">
        <v>40673</v>
      </c>
    </row>
    <row r="207" spans="1:15" ht="14.25">
      <c r="A207" s="191">
        <v>2011</v>
      </c>
      <c r="B207" s="190">
        <v>2</v>
      </c>
      <c r="C207" s="190" t="s">
        <v>167</v>
      </c>
      <c r="D207" s="114">
        <v>1421042</v>
      </c>
      <c r="E207" s="114">
        <v>2</v>
      </c>
      <c r="F207" s="114"/>
      <c r="G207" s="114">
        <v>15</v>
      </c>
      <c r="H207" s="114">
        <v>6</v>
      </c>
      <c r="I207" s="114" t="s">
        <v>209</v>
      </c>
      <c r="J207" s="114" t="s">
        <v>210</v>
      </c>
      <c r="K207" s="114" t="b">
        <v>0</v>
      </c>
      <c r="L207" s="191">
        <v>2016</v>
      </c>
      <c r="M207" s="115">
        <v>21719988</v>
      </c>
      <c r="N207" s="116">
        <v>40673</v>
      </c>
      <c r="O207" s="116">
        <v>40673</v>
      </c>
    </row>
    <row r="208" spans="1:15" ht="14.25">
      <c r="A208" s="191">
        <v>2011</v>
      </c>
      <c r="B208" s="190">
        <v>2</v>
      </c>
      <c r="C208" s="190" t="s">
        <v>167</v>
      </c>
      <c r="D208" s="114">
        <v>1421042</v>
      </c>
      <c r="E208" s="114">
        <v>2</v>
      </c>
      <c r="F208" s="114"/>
      <c r="G208" s="114">
        <v>15</v>
      </c>
      <c r="H208" s="114">
        <v>6</v>
      </c>
      <c r="I208" s="114" t="s">
        <v>209</v>
      </c>
      <c r="J208" s="114" t="s">
        <v>210</v>
      </c>
      <c r="K208" s="114" t="b">
        <v>0</v>
      </c>
      <c r="L208" s="191">
        <v>2015</v>
      </c>
      <c r="M208" s="115">
        <v>21031909</v>
      </c>
      <c r="N208" s="116">
        <v>40673</v>
      </c>
      <c r="O208" s="116">
        <v>40673</v>
      </c>
    </row>
    <row r="209" spans="1:15" ht="14.25">
      <c r="A209" s="191">
        <v>2011</v>
      </c>
      <c r="B209" s="190">
        <v>2</v>
      </c>
      <c r="C209" s="190" t="s">
        <v>167</v>
      </c>
      <c r="D209" s="114">
        <v>1421042</v>
      </c>
      <c r="E209" s="114">
        <v>2</v>
      </c>
      <c r="F209" s="114"/>
      <c r="G209" s="114">
        <v>15</v>
      </c>
      <c r="H209" s="114">
        <v>6</v>
      </c>
      <c r="I209" s="114" t="s">
        <v>209</v>
      </c>
      <c r="J209" s="114" t="s">
        <v>210</v>
      </c>
      <c r="K209" s="114" t="b">
        <v>0</v>
      </c>
      <c r="L209" s="191">
        <v>2012</v>
      </c>
      <c r="M209" s="115">
        <v>12587515</v>
      </c>
      <c r="N209" s="116">
        <v>40673</v>
      </c>
      <c r="O209" s="116">
        <v>40673</v>
      </c>
    </row>
    <row r="210" spans="1:15" ht="14.25">
      <c r="A210" s="191">
        <v>2011</v>
      </c>
      <c r="B210" s="190">
        <v>2</v>
      </c>
      <c r="C210" s="190" t="s">
        <v>167</v>
      </c>
      <c r="D210" s="114">
        <v>1421042</v>
      </c>
      <c r="E210" s="114">
        <v>2</v>
      </c>
      <c r="F210" s="114"/>
      <c r="G210" s="114">
        <v>15</v>
      </c>
      <c r="H210" s="114">
        <v>6</v>
      </c>
      <c r="I210" s="114" t="s">
        <v>209</v>
      </c>
      <c r="J210" s="114" t="s">
        <v>210</v>
      </c>
      <c r="K210" s="114" t="b">
        <v>0</v>
      </c>
      <c r="L210" s="191">
        <v>2011</v>
      </c>
      <c r="M210" s="115">
        <v>24794153.33</v>
      </c>
      <c r="N210" s="116">
        <v>40673</v>
      </c>
      <c r="O210" s="116">
        <v>40673</v>
      </c>
    </row>
    <row r="211" spans="1:15" ht="14.25">
      <c r="A211" s="191">
        <v>2011</v>
      </c>
      <c r="B211" s="190">
        <v>2</v>
      </c>
      <c r="C211" s="190" t="s">
        <v>167</v>
      </c>
      <c r="D211" s="114">
        <v>1421042</v>
      </c>
      <c r="E211" s="114">
        <v>2</v>
      </c>
      <c r="F211" s="114"/>
      <c r="G211" s="114">
        <v>15</v>
      </c>
      <c r="H211" s="114">
        <v>6</v>
      </c>
      <c r="I211" s="114" t="s">
        <v>209</v>
      </c>
      <c r="J211" s="114" t="s">
        <v>210</v>
      </c>
      <c r="K211" s="114" t="b">
        <v>0</v>
      </c>
      <c r="L211" s="191">
        <v>2013</v>
      </c>
      <c r="M211" s="115">
        <v>16071219</v>
      </c>
      <c r="N211" s="116">
        <v>40673</v>
      </c>
      <c r="O211" s="116">
        <v>40673</v>
      </c>
    </row>
    <row r="212" spans="1:15" ht="14.25">
      <c r="A212" s="191">
        <v>2011</v>
      </c>
      <c r="B212" s="190">
        <v>2</v>
      </c>
      <c r="C212" s="190" t="s">
        <v>167</v>
      </c>
      <c r="D212" s="114">
        <v>1421042</v>
      </c>
      <c r="E212" s="114">
        <v>2</v>
      </c>
      <c r="F212" s="114"/>
      <c r="G212" s="114">
        <v>15</v>
      </c>
      <c r="H212" s="114">
        <v>6</v>
      </c>
      <c r="I212" s="114" t="s">
        <v>209</v>
      </c>
      <c r="J212" s="114" t="s">
        <v>210</v>
      </c>
      <c r="K212" s="114" t="b">
        <v>0</v>
      </c>
      <c r="L212" s="191">
        <v>2019</v>
      </c>
      <c r="M212" s="115">
        <v>28693269</v>
      </c>
      <c r="N212" s="116">
        <v>40673</v>
      </c>
      <c r="O212" s="116">
        <v>40673</v>
      </c>
    </row>
    <row r="213" spans="1:15" ht="14.25">
      <c r="A213" s="191">
        <v>2011</v>
      </c>
      <c r="B213" s="190">
        <v>2</v>
      </c>
      <c r="C213" s="190" t="s">
        <v>167</v>
      </c>
      <c r="D213" s="114">
        <v>1421042</v>
      </c>
      <c r="E213" s="114">
        <v>2</v>
      </c>
      <c r="F213" s="114"/>
      <c r="G213" s="114">
        <v>15</v>
      </c>
      <c r="H213" s="114">
        <v>6</v>
      </c>
      <c r="I213" s="114" t="s">
        <v>209</v>
      </c>
      <c r="J213" s="114" t="s">
        <v>210</v>
      </c>
      <c r="K213" s="114" t="b">
        <v>0</v>
      </c>
      <c r="L213" s="191">
        <v>2018</v>
      </c>
      <c r="M213" s="115">
        <v>25889289</v>
      </c>
      <c r="N213" s="116">
        <v>40673</v>
      </c>
      <c r="O213" s="116">
        <v>40673</v>
      </c>
    </row>
    <row r="214" spans="1:15" ht="14.25">
      <c r="A214" s="191">
        <v>2011</v>
      </c>
      <c r="B214" s="190">
        <v>2</v>
      </c>
      <c r="C214" s="190" t="s">
        <v>167</v>
      </c>
      <c r="D214" s="114">
        <v>1421042</v>
      </c>
      <c r="E214" s="114">
        <v>2</v>
      </c>
      <c r="F214" s="114"/>
      <c r="G214" s="114">
        <v>25</v>
      </c>
      <c r="H214" s="114">
        <v>13</v>
      </c>
      <c r="I214" s="114"/>
      <c r="J214" s="114" t="s">
        <v>38</v>
      </c>
      <c r="K214" s="114" t="b">
        <v>1</v>
      </c>
      <c r="L214" s="191">
        <v>2017</v>
      </c>
      <c r="M214" s="115">
        <v>23250885</v>
      </c>
      <c r="N214" s="116">
        <v>40673</v>
      </c>
      <c r="O214" s="116">
        <v>40673</v>
      </c>
    </row>
    <row r="215" spans="1:15" ht="14.25">
      <c r="A215" s="191">
        <v>2011</v>
      </c>
      <c r="B215" s="190">
        <v>2</v>
      </c>
      <c r="C215" s="190" t="s">
        <v>167</v>
      </c>
      <c r="D215" s="114">
        <v>1421042</v>
      </c>
      <c r="E215" s="114">
        <v>2</v>
      </c>
      <c r="F215" s="114"/>
      <c r="G215" s="114">
        <v>25</v>
      </c>
      <c r="H215" s="114">
        <v>13</v>
      </c>
      <c r="I215" s="114"/>
      <c r="J215" s="114" t="s">
        <v>38</v>
      </c>
      <c r="K215" s="114" t="b">
        <v>1</v>
      </c>
      <c r="L215" s="191">
        <v>2019</v>
      </c>
      <c r="M215" s="115">
        <v>10420885</v>
      </c>
      <c r="N215" s="116">
        <v>40673</v>
      </c>
      <c r="O215" s="116">
        <v>40673</v>
      </c>
    </row>
    <row r="216" spans="1:15" ht="14.25">
      <c r="A216" s="191">
        <v>2011</v>
      </c>
      <c r="B216" s="190">
        <v>2</v>
      </c>
      <c r="C216" s="190" t="s">
        <v>167</v>
      </c>
      <c r="D216" s="114">
        <v>1421042</v>
      </c>
      <c r="E216" s="114">
        <v>2</v>
      </c>
      <c r="F216" s="114"/>
      <c r="G216" s="114">
        <v>25</v>
      </c>
      <c r="H216" s="114">
        <v>13</v>
      </c>
      <c r="I216" s="114"/>
      <c r="J216" s="114" t="s">
        <v>38</v>
      </c>
      <c r="K216" s="114" t="b">
        <v>1</v>
      </c>
      <c r="L216" s="191">
        <v>2016</v>
      </c>
      <c r="M216" s="115">
        <v>29775601</v>
      </c>
      <c r="N216" s="116">
        <v>40673</v>
      </c>
      <c r="O216" s="116">
        <v>40673</v>
      </c>
    </row>
    <row r="217" spans="1:15" ht="14.25">
      <c r="A217" s="191">
        <v>2011</v>
      </c>
      <c r="B217" s="190">
        <v>2</v>
      </c>
      <c r="C217" s="190" t="s">
        <v>167</v>
      </c>
      <c r="D217" s="114">
        <v>1421042</v>
      </c>
      <c r="E217" s="114">
        <v>2</v>
      </c>
      <c r="F217" s="114"/>
      <c r="G217" s="114">
        <v>25</v>
      </c>
      <c r="H217" s="114">
        <v>13</v>
      </c>
      <c r="I217" s="114"/>
      <c r="J217" s="114" t="s">
        <v>38</v>
      </c>
      <c r="K217" s="114" t="b">
        <v>1</v>
      </c>
      <c r="L217" s="191">
        <v>2011</v>
      </c>
      <c r="M217" s="115">
        <v>32363333</v>
      </c>
      <c r="N217" s="116">
        <v>40673</v>
      </c>
      <c r="O217" s="116">
        <v>40673</v>
      </c>
    </row>
    <row r="218" spans="1:15" ht="14.25">
      <c r="A218" s="191">
        <v>2011</v>
      </c>
      <c r="B218" s="190">
        <v>2</v>
      </c>
      <c r="C218" s="190" t="s">
        <v>167</v>
      </c>
      <c r="D218" s="114">
        <v>1421042</v>
      </c>
      <c r="E218" s="114">
        <v>2</v>
      </c>
      <c r="F218" s="114"/>
      <c r="G218" s="114">
        <v>25</v>
      </c>
      <c r="H218" s="114">
        <v>13</v>
      </c>
      <c r="I218" s="114"/>
      <c r="J218" s="114" t="s">
        <v>38</v>
      </c>
      <c r="K218" s="114" t="b">
        <v>1</v>
      </c>
      <c r="L218" s="191">
        <v>2014</v>
      </c>
      <c r="M218" s="115">
        <v>41848405</v>
      </c>
      <c r="N218" s="116">
        <v>40673</v>
      </c>
      <c r="O218" s="116">
        <v>40673</v>
      </c>
    </row>
    <row r="219" spans="1:15" ht="14.25">
      <c r="A219" s="191">
        <v>2011</v>
      </c>
      <c r="B219" s="190">
        <v>2</v>
      </c>
      <c r="C219" s="190" t="s">
        <v>167</v>
      </c>
      <c r="D219" s="114">
        <v>1421042</v>
      </c>
      <c r="E219" s="114">
        <v>2</v>
      </c>
      <c r="F219" s="114"/>
      <c r="G219" s="114">
        <v>25</v>
      </c>
      <c r="H219" s="114">
        <v>13</v>
      </c>
      <c r="I219" s="114"/>
      <c r="J219" s="114" t="s">
        <v>38</v>
      </c>
      <c r="K219" s="114" t="b">
        <v>1</v>
      </c>
      <c r="L219" s="191">
        <v>2015</v>
      </c>
      <c r="M219" s="115">
        <v>35869148</v>
      </c>
      <c r="N219" s="116">
        <v>40673</v>
      </c>
      <c r="O219" s="116">
        <v>40673</v>
      </c>
    </row>
    <row r="220" spans="1:15" ht="14.25">
      <c r="A220" s="191">
        <v>2011</v>
      </c>
      <c r="B220" s="190">
        <v>2</v>
      </c>
      <c r="C220" s="190" t="s">
        <v>167</v>
      </c>
      <c r="D220" s="114">
        <v>1421042</v>
      </c>
      <c r="E220" s="114">
        <v>2</v>
      </c>
      <c r="F220" s="114"/>
      <c r="G220" s="114">
        <v>25</v>
      </c>
      <c r="H220" s="114">
        <v>13</v>
      </c>
      <c r="I220" s="114"/>
      <c r="J220" s="114" t="s">
        <v>38</v>
      </c>
      <c r="K220" s="114" t="b">
        <v>1</v>
      </c>
      <c r="L220" s="191">
        <v>2012</v>
      </c>
      <c r="M220" s="115">
        <v>38987907</v>
      </c>
      <c r="N220" s="116">
        <v>40673</v>
      </c>
      <c r="O220" s="116">
        <v>40673</v>
      </c>
    </row>
    <row r="221" spans="1:15" ht="14.25">
      <c r="A221" s="191">
        <v>2011</v>
      </c>
      <c r="B221" s="190">
        <v>2</v>
      </c>
      <c r="C221" s="190" t="s">
        <v>167</v>
      </c>
      <c r="D221" s="114">
        <v>1421042</v>
      </c>
      <c r="E221" s="114">
        <v>2</v>
      </c>
      <c r="F221" s="114"/>
      <c r="G221" s="114">
        <v>25</v>
      </c>
      <c r="H221" s="114">
        <v>13</v>
      </c>
      <c r="I221" s="114"/>
      <c r="J221" s="114" t="s">
        <v>38</v>
      </c>
      <c r="K221" s="114" t="b">
        <v>1</v>
      </c>
      <c r="L221" s="191">
        <v>2013</v>
      </c>
      <c r="M221" s="115">
        <v>40250095</v>
      </c>
      <c r="N221" s="116">
        <v>40673</v>
      </c>
      <c r="O221" s="116">
        <v>40673</v>
      </c>
    </row>
    <row r="222" spans="1:15" ht="14.25">
      <c r="A222" s="191">
        <v>2011</v>
      </c>
      <c r="B222" s="190">
        <v>2</v>
      </c>
      <c r="C222" s="190" t="s">
        <v>167</v>
      </c>
      <c r="D222" s="114">
        <v>1421042</v>
      </c>
      <c r="E222" s="114">
        <v>2</v>
      </c>
      <c r="F222" s="114"/>
      <c r="G222" s="114">
        <v>25</v>
      </c>
      <c r="H222" s="114">
        <v>13</v>
      </c>
      <c r="I222" s="114"/>
      <c r="J222" s="114" t="s">
        <v>38</v>
      </c>
      <c r="K222" s="114" t="b">
        <v>1</v>
      </c>
      <c r="L222" s="191">
        <v>2018</v>
      </c>
      <c r="M222" s="115">
        <v>16860885</v>
      </c>
      <c r="N222" s="116">
        <v>40673</v>
      </c>
      <c r="O222" s="116">
        <v>40673</v>
      </c>
    </row>
    <row r="223" spans="1:15" ht="14.25">
      <c r="A223" s="191">
        <v>2011</v>
      </c>
      <c r="B223" s="190">
        <v>2</v>
      </c>
      <c r="C223" s="190" t="s">
        <v>167</v>
      </c>
      <c r="D223" s="114">
        <v>1421042</v>
      </c>
      <c r="E223" s="114">
        <v>2</v>
      </c>
      <c r="F223" s="114"/>
      <c r="G223" s="114">
        <v>11</v>
      </c>
      <c r="H223" s="114">
        <v>3</v>
      </c>
      <c r="I223" s="114" t="s">
        <v>211</v>
      </c>
      <c r="J223" s="114" t="s">
        <v>212</v>
      </c>
      <c r="K223" s="114" t="b">
        <v>1</v>
      </c>
      <c r="L223" s="191">
        <v>2016</v>
      </c>
      <c r="M223" s="115">
        <v>21719988</v>
      </c>
      <c r="N223" s="116">
        <v>40673</v>
      </c>
      <c r="O223" s="116">
        <v>40673</v>
      </c>
    </row>
    <row r="224" spans="1:15" ht="14.25">
      <c r="A224" s="191">
        <v>2011</v>
      </c>
      <c r="B224" s="190">
        <v>2</v>
      </c>
      <c r="C224" s="190" t="s">
        <v>167</v>
      </c>
      <c r="D224" s="114">
        <v>1421042</v>
      </c>
      <c r="E224" s="114">
        <v>2</v>
      </c>
      <c r="F224" s="114"/>
      <c r="G224" s="114">
        <v>11</v>
      </c>
      <c r="H224" s="114">
        <v>3</v>
      </c>
      <c r="I224" s="114" t="s">
        <v>211</v>
      </c>
      <c r="J224" s="114" t="s">
        <v>212</v>
      </c>
      <c r="K224" s="114" t="b">
        <v>1</v>
      </c>
      <c r="L224" s="191">
        <v>2018</v>
      </c>
      <c r="M224" s="115">
        <v>25889289</v>
      </c>
      <c r="N224" s="116">
        <v>40673</v>
      </c>
      <c r="O224" s="116">
        <v>40673</v>
      </c>
    </row>
    <row r="225" spans="1:15" ht="14.25">
      <c r="A225" s="191">
        <v>2011</v>
      </c>
      <c r="B225" s="190">
        <v>2</v>
      </c>
      <c r="C225" s="190" t="s">
        <v>167</v>
      </c>
      <c r="D225" s="114">
        <v>1421042</v>
      </c>
      <c r="E225" s="114">
        <v>2</v>
      </c>
      <c r="F225" s="114"/>
      <c r="G225" s="114">
        <v>11</v>
      </c>
      <c r="H225" s="114">
        <v>3</v>
      </c>
      <c r="I225" s="114" t="s">
        <v>211</v>
      </c>
      <c r="J225" s="114" t="s">
        <v>212</v>
      </c>
      <c r="K225" s="114" t="b">
        <v>1</v>
      </c>
      <c r="L225" s="191">
        <v>2013</v>
      </c>
      <c r="M225" s="115">
        <v>16071219</v>
      </c>
      <c r="N225" s="116">
        <v>40673</v>
      </c>
      <c r="O225" s="116">
        <v>40673</v>
      </c>
    </row>
    <row r="226" spans="1:15" ht="14.25">
      <c r="A226" s="191">
        <v>2011</v>
      </c>
      <c r="B226" s="190">
        <v>2</v>
      </c>
      <c r="C226" s="190" t="s">
        <v>167</v>
      </c>
      <c r="D226" s="114">
        <v>1421042</v>
      </c>
      <c r="E226" s="114">
        <v>2</v>
      </c>
      <c r="F226" s="114"/>
      <c r="G226" s="114">
        <v>11</v>
      </c>
      <c r="H226" s="114">
        <v>3</v>
      </c>
      <c r="I226" s="114" t="s">
        <v>211</v>
      </c>
      <c r="J226" s="114" t="s">
        <v>212</v>
      </c>
      <c r="K226" s="114" t="b">
        <v>1</v>
      </c>
      <c r="L226" s="191">
        <v>2015</v>
      </c>
      <c r="M226" s="115">
        <v>21031909</v>
      </c>
      <c r="N226" s="116">
        <v>40673</v>
      </c>
      <c r="O226" s="116">
        <v>40673</v>
      </c>
    </row>
    <row r="227" spans="1:15" ht="14.25">
      <c r="A227" s="191">
        <v>2011</v>
      </c>
      <c r="B227" s="190">
        <v>2</v>
      </c>
      <c r="C227" s="190" t="s">
        <v>167</v>
      </c>
      <c r="D227" s="114">
        <v>1421042</v>
      </c>
      <c r="E227" s="114">
        <v>2</v>
      </c>
      <c r="F227" s="114"/>
      <c r="G227" s="114">
        <v>11</v>
      </c>
      <c r="H227" s="114">
        <v>3</v>
      </c>
      <c r="I227" s="114" t="s">
        <v>211</v>
      </c>
      <c r="J227" s="114" t="s">
        <v>212</v>
      </c>
      <c r="K227" s="114" t="b">
        <v>1</v>
      </c>
      <c r="L227" s="191">
        <v>2020</v>
      </c>
      <c r="M227" s="115">
        <v>32075344</v>
      </c>
      <c r="N227" s="116">
        <v>40673</v>
      </c>
      <c r="O227" s="116">
        <v>40673</v>
      </c>
    </row>
    <row r="228" spans="1:15" ht="14.25">
      <c r="A228" s="191">
        <v>2011</v>
      </c>
      <c r="B228" s="190">
        <v>2</v>
      </c>
      <c r="C228" s="190" t="s">
        <v>167</v>
      </c>
      <c r="D228" s="114">
        <v>1421042</v>
      </c>
      <c r="E228" s="114">
        <v>2</v>
      </c>
      <c r="F228" s="114"/>
      <c r="G228" s="114">
        <v>11</v>
      </c>
      <c r="H228" s="114">
        <v>3</v>
      </c>
      <c r="I228" s="114" t="s">
        <v>211</v>
      </c>
      <c r="J228" s="114" t="s">
        <v>212</v>
      </c>
      <c r="K228" s="114" t="b">
        <v>1</v>
      </c>
      <c r="L228" s="191">
        <v>2017</v>
      </c>
      <c r="M228" s="115">
        <v>23397519</v>
      </c>
      <c r="N228" s="116">
        <v>40673</v>
      </c>
      <c r="O228" s="116">
        <v>40673</v>
      </c>
    </row>
    <row r="229" spans="1:15" ht="14.25">
      <c r="A229" s="191">
        <v>2011</v>
      </c>
      <c r="B229" s="190">
        <v>2</v>
      </c>
      <c r="C229" s="190" t="s">
        <v>167</v>
      </c>
      <c r="D229" s="114">
        <v>1421042</v>
      </c>
      <c r="E229" s="114">
        <v>2</v>
      </c>
      <c r="F229" s="114"/>
      <c r="G229" s="114">
        <v>11</v>
      </c>
      <c r="H229" s="114">
        <v>3</v>
      </c>
      <c r="I229" s="114" t="s">
        <v>211</v>
      </c>
      <c r="J229" s="114" t="s">
        <v>212</v>
      </c>
      <c r="K229" s="114" t="b">
        <v>1</v>
      </c>
      <c r="L229" s="191">
        <v>2011</v>
      </c>
      <c r="M229" s="115">
        <v>17220097.07</v>
      </c>
      <c r="N229" s="116">
        <v>40673</v>
      </c>
      <c r="O229" s="116">
        <v>40673</v>
      </c>
    </row>
    <row r="230" spans="1:15" ht="14.25">
      <c r="A230" s="191">
        <v>2011</v>
      </c>
      <c r="B230" s="190">
        <v>2</v>
      </c>
      <c r="C230" s="190" t="s">
        <v>167</v>
      </c>
      <c r="D230" s="114">
        <v>1421042</v>
      </c>
      <c r="E230" s="114">
        <v>2</v>
      </c>
      <c r="F230" s="114"/>
      <c r="G230" s="114">
        <v>11</v>
      </c>
      <c r="H230" s="114">
        <v>3</v>
      </c>
      <c r="I230" s="114" t="s">
        <v>211</v>
      </c>
      <c r="J230" s="114" t="s">
        <v>212</v>
      </c>
      <c r="K230" s="114" t="b">
        <v>1</v>
      </c>
      <c r="L230" s="191">
        <v>2012</v>
      </c>
      <c r="M230" s="115">
        <v>12587515</v>
      </c>
      <c r="N230" s="116">
        <v>40673</v>
      </c>
      <c r="O230" s="116">
        <v>40673</v>
      </c>
    </row>
    <row r="231" spans="1:15" ht="14.25">
      <c r="A231" s="191">
        <v>2011</v>
      </c>
      <c r="B231" s="190">
        <v>2</v>
      </c>
      <c r="C231" s="190" t="s">
        <v>167</v>
      </c>
      <c r="D231" s="114">
        <v>1421042</v>
      </c>
      <c r="E231" s="114">
        <v>2</v>
      </c>
      <c r="F231" s="114"/>
      <c r="G231" s="114">
        <v>11</v>
      </c>
      <c r="H231" s="114">
        <v>3</v>
      </c>
      <c r="I231" s="114" t="s">
        <v>211</v>
      </c>
      <c r="J231" s="114" t="s">
        <v>212</v>
      </c>
      <c r="K231" s="114" t="b">
        <v>1</v>
      </c>
      <c r="L231" s="191">
        <v>2019</v>
      </c>
      <c r="M231" s="115">
        <v>28693269</v>
      </c>
      <c r="N231" s="116">
        <v>40673</v>
      </c>
      <c r="O231" s="116">
        <v>40673</v>
      </c>
    </row>
    <row r="232" spans="1:15" ht="14.25">
      <c r="A232" s="191">
        <v>2011</v>
      </c>
      <c r="B232" s="190">
        <v>2</v>
      </c>
      <c r="C232" s="190" t="s">
        <v>167</v>
      </c>
      <c r="D232" s="114">
        <v>1421042</v>
      </c>
      <c r="E232" s="114">
        <v>2</v>
      </c>
      <c r="F232" s="114"/>
      <c r="G232" s="114">
        <v>11</v>
      </c>
      <c r="H232" s="114">
        <v>3</v>
      </c>
      <c r="I232" s="114" t="s">
        <v>211</v>
      </c>
      <c r="J232" s="114" t="s">
        <v>212</v>
      </c>
      <c r="K232" s="114" t="b">
        <v>1</v>
      </c>
      <c r="L232" s="191">
        <v>2014</v>
      </c>
      <c r="M232" s="115">
        <v>18264571</v>
      </c>
      <c r="N232" s="116">
        <v>40673</v>
      </c>
      <c r="O232" s="116">
        <v>40673</v>
      </c>
    </row>
    <row r="233" spans="1:15" ht="14.25">
      <c r="A233" s="191">
        <v>2011</v>
      </c>
      <c r="B233" s="190">
        <v>2</v>
      </c>
      <c r="C233" s="190" t="s">
        <v>167</v>
      </c>
      <c r="D233" s="114">
        <v>1421042</v>
      </c>
      <c r="E233" s="114">
        <v>2</v>
      </c>
      <c r="F233" s="114"/>
      <c r="G233" s="114">
        <v>20</v>
      </c>
      <c r="H233" s="114">
        <v>9</v>
      </c>
      <c r="I233" s="114" t="s">
        <v>213</v>
      </c>
      <c r="J233" s="114" t="s">
        <v>214</v>
      </c>
      <c r="K233" s="114" t="b">
        <v>0</v>
      </c>
      <c r="L233" s="191">
        <v>2014</v>
      </c>
      <c r="M233" s="115">
        <v>9639719</v>
      </c>
      <c r="N233" s="116">
        <v>40673</v>
      </c>
      <c r="O233" s="116">
        <v>40673</v>
      </c>
    </row>
    <row r="234" spans="1:15" ht="14.25">
      <c r="A234" s="191">
        <v>2011</v>
      </c>
      <c r="B234" s="190">
        <v>2</v>
      </c>
      <c r="C234" s="190" t="s">
        <v>167</v>
      </c>
      <c r="D234" s="114">
        <v>1421042</v>
      </c>
      <c r="E234" s="114">
        <v>2</v>
      </c>
      <c r="F234" s="114"/>
      <c r="G234" s="114">
        <v>20</v>
      </c>
      <c r="H234" s="114">
        <v>9</v>
      </c>
      <c r="I234" s="114" t="s">
        <v>213</v>
      </c>
      <c r="J234" s="114" t="s">
        <v>214</v>
      </c>
      <c r="K234" s="114" t="b">
        <v>0</v>
      </c>
      <c r="L234" s="191">
        <v>2011</v>
      </c>
      <c r="M234" s="115">
        <v>17251626.33</v>
      </c>
      <c r="N234" s="116">
        <v>40673</v>
      </c>
      <c r="O234" s="116">
        <v>40673</v>
      </c>
    </row>
    <row r="235" spans="1:15" ht="14.25">
      <c r="A235" s="191">
        <v>2011</v>
      </c>
      <c r="B235" s="190">
        <v>2</v>
      </c>
      <c r="C235" s="190" t="s">
        <v>167</v>
      </c>
      <c r="D235" s="114">
        <v>1421042</v>
      </c>
      <c r="E235" s="114">
        <v>2</v>
      </c>
      <c r="F235" s="114"/>
      <c r="G235" s="114">
        <v>20</v>
      </c>
      <c r="H235" s="114">
        <v>9</v>
      </c>
      <c r="I235" s="114" t="s">
        <v>213</v>
      </c>
      <c r="J235" s="114" t="s">
        <v>214</v>
      </c>
      <c r="K235" s="114" t="b">
        <v>0</v>
      </c>
      <c r="L235" s="191">
        <v>2015</v>
      </c>
      <c r="M235" s="115">
        <v>12733592</v>
      </c>
      <c r="N235" s="116">
        <v>40673</v>
      </c>
      <c r="O235" s="116">
        <v>40673</v>
      </c>
    </row>
    <row r="236" spans="1:15" ht="14.25">
      <c r="A236" s="191">
        <v>2011</v>
      </c>
      <c r="B236" s="190">
        <v>2</v>
      </c>
      <c r="C236" s="190" t="s">
        <v>167</v>
      </c>
      <c r="D236" s="114">
        <v>1421042</v>
      </c>
      <c r="E236" s="114">
        <v>2</v>
      </c>
      <c r="F236" s="114"/>
      <c r="G236" s="114">
        <v>20</v>
      </c>
      <c r="H236" s="114">
        <v>9</v>
      </c>
      <c r="I236" s="114" t="s">
        <v>213</v>
      </c>
      <c r="J236" s="114" t="s">
        <v>214</v>
      </c>
      <c r="K236" s="114" t="b">
        <v>0</v>
      </c>
      <c r="L236" s="191">
        <v>2018</v>
      </c>
      <c r="M236" s="115">
        <v>18308109</v>
      </c>
      <c r="N236" s="116">
        <v>40673</v>
      </c>
      <c r="O236" s="116">
        <v>40673</v>
      </c>
    </row>
    <row r="237" spans="1:15" ht="14.25">
      <c r="A237" s="191">
        <v>2011</v>
      </c>
      <c r="B237" s="190">
        <v>2</v>
      </c>
      <c r="C237" s="190" t="s">
        <v>167</v>
      </c>
      <c r="D237" s="114">
        <v>1421042</v>
      </c>
      <c r="E237" s="114">
        <v>2</v>
      </c>
      <c r="F237" s="114"/>
      <c r="G237" s="114">
        <v>20</v>
      </c>
      <c r="H237" s="114">
        <v>9</v>
      </c>
      <c r="I237" s="114" t="s">
        <v>213</v>
      </c>
      <c r="J237" s="114" t="s">
        <v>214</v>
      </c>
      <c r="K237" s="114" t="b">
        <v>0</v>
      </c>
      <c r="L237" s="191">
        <v>2017</v>
      </c>
      <c r="M237" s="115">
        <v>15290140</v>
      </c>
      <c r="N237" s="116">
        <v>40673</v>
      </c>
      <c r="O237" s="116">
        <v>40673</v>
      </c>
    </row>
    <row r="238" spans="1:15" ht="14.25">
      <c r="A238" s="191">
        <v>2011</v>
      </c>
      <c r="B238" s="190">
        <v>2</v>
      </c>
      <c r="C238" s="190" t="s">
        <v>167</v>
      </c>
      <c r="D238" s="114">
        <v>1421042</v>
      </c>
      <c r="E238" s="114">
        <v>2</v>
      </c>
      <c r="F238" s="114"/>
      <c r="G238" s="114">
        <v>20</v>
      </c>
      <c r="H238" s="114">
        <v>9</v>
      </c>
      <c r="I238" s="114" t="s">
        <v>213</v>
      </c>
      <c r="J238" s="114" t="s">
        <v>214</v>
      </c>
      <c r="K238" s="114" t="b">
        <v>0</v>
      </c>
      <c r="L238" s="191">
        <v>2019</v>
      </c>
      <c r="M238" s="115">
        <v>21445489</v>
      </c>
      <c r="N238" s="116">
        <v>40673</v>
      </c>
      <c r="O238" s="116">
        <v>40673</v>
      </c>
    </row>
    <row r="239" spans="1:15" ht="14.25">
      <c r="A239" s="191">
        <v>2011</v>
      </c>
      <c r="B239" s="190">
        <v>2</v>
      </c>
      <c r="C239" s="190" t="s">
        <v>167</v>
      </c>
      <c r="D239" s="114">
        <v>1421042</v>
      </c>
      <c r="E239" s="114">
        <v>2</v>
      </c>
      <c r="F239" s="114"/>
      <c r="G239" s="114">
        <v>20</v>
      </c>
      <c r="H239" s="114">
        <v>9</v>
      </c>
      <c r="I239" s="114" t="s">
        <v>213</v>
      </c>
      <c r="J239" s="114" t="s">
        <v>214</v>
      </c>
      <c r="K239" s="114" t="b">
        <v>0</v>
      </c>
      <c r="L239" s="191">
        <v>2016</v>
      </c>
      <c r="M239" s="115">
        <v>13678165</v>
      </c>
      <c r="N239" s="116">
        <v>40673</v>
      </c>
      <c r="O239" s="116">
        <v>40673</v>
      </c>
    </row>
    <row r="240" spans="1:15" ht="14.25">
      <c r="A240" s="191">
        <v>2011</v>
      </c>
      <c r="B240" s="190">
        <v>2</v>
      </c>
      <c r="C240" s="190" t="s">
        <v>167</v>
      </c>
      <c r="D240" s="114">
        <v>1421042</v>
      </c>
      <c r="E240" s="114">
        <v>2</v>
      </c>
      <c r="F240" s="114"/>
      <c r="G240" s="114">
        <v>20</v>
      </c>
      <c r="H240" s="114">
        <v>9</v>
      </c>
      <c r="I240" s="114" t="s">
        <v>213</v>
      </c>
      <c r="J240" s="114" t="s">
        <v>214</v>
      </c>
      <c r="K240" s="114" t="b">
        <v>0</v>
      </c>
      <c r="L240" s="191">
        <v>2012</v>
      </c>
      <c r="M240" s="115">
        <v>4630133</v>
      </c>
      <c r="N240" s="116">
        <v>40673</v>
      </c>
      <c r="O240" s="116">
        <v>40673</v>
      </c>
    </row>
    <row r="241" spans="1:15" ht="14.25">
      <c r="A241" s="191">
        <v>2011</v>
      </c>
      <c r="B241" s="190">
        <v>2</v>
      </c>
      <c r="C241" s="190" t="s">
        <v>167</v>
      </c>
      <c r="D241" s="114">
        <v>1421042</v>
      </c>
      <c r="E241" s="114">
        <v>2</v>
      </c>
      <c r="F241" s="114"/>
      <c r="G241" s="114">
        <v>20</v>
      </c>
      <c r="H241" s="114">
        <v>9</v>
      </c>
      <c r="I241" s="114" t="s">
        <v>213</v>
      </c>
      <c r="J241" s="114" t="s">
        <v>214</v>
      </c>
      <c r="K241" s="114" t="b">
        <v>0</v>
      </c>
      <c r="L241" s="191">
        <v>2013</v>
      </c>
      <c r="M241" s="115">
        <v>7185977</v>
      </c>
      <c r="N241" s="116">
        <v>40673</v>
      </c>
      <c r="O241" s="116">
        <v>40673</v>
      </c>
    </row>
    <row r="242" spans="1:15" ht="14.25">
      <c r="A242" s="191">
        <v>2011</v>
      </c>
      <c r="B242" s="190">
        <v>2</v>
      </c>
      <c r="C242" s="190" t="s">
        <v>167</v>
      </c>
      <c r="D242" s="114">
        <v>1421042</v>
      </c>
      <c r="E242" s="114">
        <v>2</v>
      </c>
      <c r="F242" s="114"/>
      <c r="G242" s="114">
        <v>20</v>
      </c>
      <c r="H242" s="114">
        <v>9</v>
      </c>
      <c r="I242" s="114" t="s">
        <v>213</v>
      </c>
      <c r="J242" s="114" t="s">
        <v>214</v>
      </c>
      <c r="K242" s="114" t="b">
        <v>0</v>
      </c>
      <c r="L242" s="191">
        <v>2020</v>
      </c>
      <c r="M242" s="115">
        <v>20811699</v>
      </c>
      <c r="N242" s="116">
        <v>40673</v>
      </c>
      <c r="O242" s="116">
        <v>40673</v>
      </c>
    </row>
    <row r="243" spans="1:15" ht="14.25">
      <c r="A243" s="191">
        <v>2011</v>
      </c>
      <c r="B243" s="190">
        <v>2</v>
      </c>
      <c r="C243" s="190" t="s">
        <v>167</v>
      </c>
      <c r="D243" s="114">
        <v>1421042</v>
      </c>
      <c r="E243" s="114">
        <v>2</v>
      </c>
      <c r="F243" s="114"/>
      <c r="G243" s="114">
        <v>21</v>
      </c>
      <c r="H243" s="114">
        <v>10</v>
      </c>
      <c r="I243" s="114"/>
      <c r="J243" s="114" t="s">
        <v>29</v>
      </c>
      <c r="K243" s="114" t="b">
        <v>0</v>
      </c>
      <c r="L243" s="191">
        <v>2019</v>
      </c>
      <c r="M243" s="115">
        <v>21445489</v>
      </c>
      <c r="N243" s="116">
        <v>40673</v>
      </c>
      <c r="O243" s="116">
        <v>40673</v>
      </c>
    </row>
    <row r="244" spans="1:15" ht="14.25">
      <c r="A244" s="191">
        <v>2011</v>
      </c>
      <c r="B244" s="190">
        <v>2</v>
      </c>
      <c r="C244" s="190" t="s">
        <v>167</v>
      </c>
      <c r="D244" s="114">
        <v>1421042</v>
      </c>
      <c r="E244" s="114">
        <v>2</v>
      </c>
      <c r="F244" s="114"/>
      <c r="G244" s="114">
        <v>21</v>
      </c>
      <c r="H244" s="114">
        <v>10</v>
      </c>
      <c r="I244" s="114"/>
      <c r="J244" s="114" t="s">
        <v>29</v>
      </c>
      <c r="K244" s="114" t="b">
        <v>0</v>
      </c>
      <c r="L244" s="191">
        <v>2020</v>
      </c>
      <c r="M244" s="115">
        <v>20811699</v>
      </c>
      <c r="N244" s="116">
        <v>40673</v>
      </c>
      <c r="O244" s="116">
        <v>40673</v>
      </c>
    </row>
    <row r="245" spans="1:15" ht="14.25">
      <c r="A245" s="191">
        <v>2011</v>
      </c>
      <c r="B245" s="190">
        <v>2</v>
      </c>
      <c r="C245" s="190" t="s">
        <v>167</v>
      </c>
      <c r="D245" s="114">
        <v>1421042</v>
      </c>
      <c r="E245" s="114">
        <v>2</v>
      </c>
      <c r="F245" s="114"/>
      <c r="G245" s="114">
        <v>21</v>
      </c>
      <c r="H245" s="114">
        <v>10</v>
      </c>
      <c r="I245" s="114"/>
      <c r="J245" s="114" t="s">
        <v>29</v>
      </c>
      <c r="K245" s="114" t="b">
        <v>0</v>
      </c>
      <c r="L245" s="191">
        <v>2012</v>
      </c>
      <c r="M245" s="115">
        <v>17330133</v>
      </c>
      <c r="N245" s="116">
        <v>40673</v>
      </c>
      <c r="O245" s="116">
        <v>40673</v>
      </c>
    </row>
    <row r="246" spans="1:15" ht="14.25">
      <c r="A246" s="191">
        <v>2011</v>
      </c>
      <c r="B246" s="190">
        <v>2</v>
      </c>
      <c r="C246" s="190" t="s">
        <v>167</v>
      </c>
      <c r="D246" s="114">
        <v>1421042</v>
      </c>
      <c r="E246" s="114">
        <v>2</v>
      </c>
      <c r="F246" s="114"/>
      <c r="G246" s="114">
        <v>21</v>
      </c>
      <c r="H246" s="114">
        <v>10</v>
      </c>
      <c r="I246" s="114"/>
      <c r="J246" s="114" t="s">
        <v>29</v>
      </c>
      <c r="K246" s="114" t="b">
        <v>0</v>
      </c>
      <c r="L246" s="191">
        <v>2013</v>
      </c>
      <c r="M246" s="115">
        <v>15185977</v>
      </c>
      <c r="N246" s="116">
        <v>40673</v>
      </c>
      <c r="O246" s="116">
        <v>40673</v>
      </c>
    </row>
    <row r="247" spans="1:15" ht="14.25">
      <c r="A247" s="191">
        <v>2011</v>
      </c>
      <c r="B247" s="190">
        <v>2</v>
      </c>
      <c r="C247" s="190" t="s">
        <v>167</v>
      </c>
      <c r="D247" s="114">
        <v>1421042</v>
      </c>
      <c r="E247" s="114">
        <v>2</v>
      </c>
      <c r="F247" s="114"/>
      <c r="G247" s="114">
        <v>21</v>
      </c>
      <c r="H247" s="114">
        <v>10</v>
      </c>
      <c r="I247" s="114"/>
      <c r="J247" s="114" t="s">
        <v>29</v>
      </c>
      <c r="K247" s="114" t="b">
        <v>0</v>
      </c>
      <c r="L247" s="191">
        <v>2016</v>
      </c>
      <c r="M247" s="115">
        <v>13678165</v>
      </c>
      <c r="N247" s="116">
        <v>40673</v>
      </c>
      <c r="O247" s="116">
        <v>40673</v>
      </c>
    </row>
    <row r="248" spans="1:15" ht="14.25">
      <c r="A248" s="191">
        <v>2011</v>
      </c>
      <c r="B248" s="190">
        <v>2</v>
      </c>
      <c r="C248" s="190" t="s">
        <v>167</v>
      </c>
      <c r="D248" s="114">
        <v>1421042</v>
      </c>
      <c r="E248" s="114">
        <v>2</v>
      </c>
      <c r="F248" s="114"/>
      <c r="G248" s="114">
        <v>21</v>
      </c>
      <c r="H248" s="114">
        <v>10</v>
      </c>
      <c r="I248" s="114"/>
      <c r="J248" s="114" t="s">
        <v>29</v>
      </c>
      <c r="K248" s="114" t="b">
        <v>0</v>
      </c>
      <c r="L248" s="191">
        <v>2017</v>
      </c>
      <c r="M248" s="115">
        <v>15290140</v>
      </c>
      <c r="N248" s="116">
        <v>40673</v>
      </c>
      <c r="O248" s="116">
        <v>40673</v>
      </c>
    </row>
    <row r="249" spans="1:15" ht="14.25">
      <c r="A249" s="191">
        <v>2011</v>
      </c>
      <c r="B249" s="190">
        <v>2</v>
      </c>
      <c r="C249" s="190" t="s">
        <v>167</v>
      </c>
      <c r="D249" s="114">
        <v>1421042</v>
      </c>
      <c r="E249" s="114">
        <v>2</v>
      </c>
      <c r="F249" s="114"/>
      <c r="G249" s="114">
        <v>21</v>
      </c>
      <c r="H249" s="114">
        <v>10</v>
      </c>
      <c r="I249" s="114"/>
      <c r="J249" s="114" t="s">
        <v>29</v>
      </c>
      <c r="K249" s="114" t="b">
        <v>0</v>
      </c>
      <c r="L249" s="191">
        <v>2011</v>
      </c>
      <c r="M249" s="115">
        <v>25977570.07</v>
      </c>
      <c r="N249" s="116">
        <v>40673</v>
      </c>
      <c r="O249" s="116">
        <v>40673</v>
      </c>
    </row>
    <row r="250" spans="1:15" ht="14.25">
      <c r="A250" s="191">
        <v>2011</v>
      </c>
      <c r="B250" s="190">
        <v>2</v>
      </c>
      <c r="C250" s="190" t="s">
        <v>167</v>
      </c>
      <c r="D250" s="114">
        <v>1421042</v>
      </c>
      <c r="E250" s="114">
        <v>2</v>
      </c>
      <c r="F250" s="114"/>
      <c r="G250" s="114">
        <v>21</v>
      </c>
      <c r="H250" s="114">
        <v>10</v>
      </c>
      <c r="I250" s="114"/>
      <c r="J250" s="114" t="s">
        <v>29</v>
      </c>
      <c r="K250" s="114" t="b">
        <v>0</v>
      </c>
      <c r="L250" s="191">
        <v>2015</v>
      </c>
      <c r="M250" s="115">
        <v>12733592</v>
      </c>
      <c r="N250" s="116">
        <v>40673</v>
      </c>
      <c r="O250" s="116">
        <v>40673</v>
      </c>
    </row>
    <row r="251" spans="1:15" ht="14.25">
      <c r="A251" s="191">
        <v>2011</v>
      </c>
      <c r="B251" s="190">
        <v>2</v>
      </c>
      <c r="C251" s="190" t="s">
        <v>167</v>
      </c>
      <c r="D251" s="114">
        <v>1421042</v>
      </c>
      <c r="E251" s="114">
        <v>2</v>
      </c>
      <c r="F251" s="114"/>
      <c r="G251" s="114">
        <v>21</v>
      </c>
      <c r="H251" s="114">
        <v>10</v>
      </c>
      <c r="I251" s="114"/>
      <c r="J251" s="114" t="s">
        <v>29</v>
      </c>
      <c r="K251" s="114" t="b">
        <v>0</v>
      </c>
      <c r="L251" s="191">
        <v>2014</v>
      </c>
      <c r="M251" s="115">
        <v>17639719</v>
      </c>
      <c r="N251" s="116">
        <v>40673</v>
      </c>
      <c r="O251" s="116">
        <v>40673</v>
      </c>
    </row>
    <row r="252" spans="1:15" ht="14.25">
      <c r="A252" s="191">
        <v>2011</v>
      </c>
      <c r="B252" s="190">
        <v>2</v>
      </c>
      <c r="C252" s="190" t="s">
        <v>167</v>
      </c>
      <c r="D252" s="114">
        <v>1421042</v>
      </c>
      <c r="E252" s="114">
        <v>2</v>
      </c>
      <c r="F252" s="114"/>
      <c r="G252" s="114">
        <v>21</v>
      </c>
      <c r="H252" s="114">
        <v>10</v>
      </c>
      <c r="I252" s="114"/>
      <c r="J252" s="114" t="s">
        <v>29</v>
      </c>
      <c r="K252" s="114" t="b">
        <v>0</v>
      </c>
      <c r="L252" s="191">
        <v>2018</v>
      </c>
      <c r="M252" s="115">
        <v>18308109</v>
      </c>
      <c r="N252" s="116">
        <v>40673</v>
      </c>
      <c r="O252" s="116">
        <v>40673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Gmina Michałowice</cp:lastModifiedBy>
  <cp:lastPrinted>2012-07-30T13:31:45Z</cp:lastPrinted>
  <dcterms:created xsi:type="dcterms:W3CDTF">2010-09-17T02:30:46Z</dcterms:created>
  <dcterms:modified xsi:type="dcterms:W3CDTF">2012-08-21T08:39:04Z</dcterms:modified>
  <cp:category/>
  <cp:version/>
  <cp:contentType/>
  <cp:contentStatus/>
</cp:coreProperties>
</file>