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480" windowHeight="11640" activeTab="0"/>
  </bookViews>
  <sheets>
    <sheet name="G" sheetId="1" r:id="rId1"/>
  </sheets>
  <definedNames>
    <definedName name="_xlnm.Print_Area" localSheetId="0">'G'!$A$1:$U$100</definedName>
    <definedName name="_xlnm.Print_Titles" localSheetId="0">'G'!$3:$6</definedName>
  </definedNames>
  <calcPr fullCalcOnLoad="1"/>
</workbook>
</file>

<file path=xl/sharedStrings.xml><?xml version="1.0" encoding="utf-8"?>
<sst xmlns="http://schemas.openxmlformats.org/spreadsheetml/2006/main" count="258" uniqueCount="120">
  <si>
    <t>x</t>
  </si>
  <si>
    <t>układ wg przedsięwzięć/programów/projektów/zadań</t>
  </si>
  <si>
    <t>Nazwa i cel</t>
  </si>
  <si>
    <t>Klasyfikacja budżetowa</t>
  </si>
  <si>
    <t>Limity wydatków w poszczególnych latach (wszystkie lata)</t>
  </si>
  <si>
    <t>Od</t>
  </si>
  <si>
    <t>Do</t>
  </si>
  <si>
    <t>Dział</t>
  </si>
  <si>
    <t>Rozdz.</t>
  </si>
  <si>
    <t>Przedsięwzięcia ogółem</t>
  </si>
  <si>
    <t>– wydatki bieżące</t>
  </si>
  <si>
    <t>– wydatki majątkowe</t>
  </si>
  <si>
    <t>1) programy, projekty lub zadania (razem)</t>
  </si>
  <si>
    <t>a) programy, projekty lub zadania związane z programami realizowanymi z udziałem środków, o których mowa w art. 5 ust. 1 pkt 2 i 3 (razem)</t>
  </si>
  <si>
    <t>program 1 ogółem</t>
  </si>
  <si>
    <t xml:space="preserve"> - wyszczególnienie wydatków na program wg klasyfikacji budżetowej</t>
  </si>
  <si>
    <t>b) programy, projekty lub zadania związane z umowami partnerstwa publiczno-prywatnego (razem)</t>
  </si>
  <si>
    <t>c) programy, projekty lub zadania pozostałe (inne niż wymienione w lit. a i b (razem)</t>
  </si>
  <si>
    <t>2) umowy, których realizacja w roku budżetowym i w latach następnych jest niezbędna dla zapewnienia ciągłości działania jednostki i których płatności przypadają w okresie dłuższym niż rok (razem)</t>
  </si>
  <si>
    <t>umowa 1 ogółem</t>
  </si>
  <si>
    <t>3) gwarancje i poręczenia udzielane przez jednostki samorządu terytorialnego (razem)</t>
  </si>
  <si>
    <t>Jednostka odpowiedzialna</t>
  </si>
  <si>
    <t>Łączne nakłady finansowe</t>
  </si>
  <si>
    <t>Wydatki poniesione w latach poprzednich</t>
  </si>
  <si>
    <t>Okres realizacji (w wierszu program/umowa)</t>
  </si>
  <si>
    <t>Limit zobowiązań</t>
  </si>
  <si>
    <t>Gmina Michałowice</t>
  </si>
  <si>
    <t>Budowa kanalizacji sanitarnej w ul. Jałowcowej w Opaczy Małej</t>
  </si>
  <si>
    <t>010</t>
  </si>
  <si>
    <t>01010</t>
  </si>
  <si>
    <t>Opracowanie koncepcji kanalizacji, wykonanie ekspertyz, badań i modernizacja sieci gazowych</t>
  </si>
  <si>
    <r>
      <t xml:space="preserve">program 2  </t>
    </r>
    <r>
      <rPr>
        <b/>
        <i/>
        <sz val="10"/>
        <rFont val="Arial"/>
        <family val="2"/>
      </rPr>
      <t xml:space="preserve">Budowa Sieci Wodociągowej w Gminie Michałowice </t>
    </r>
    <r>
      <rPr>
        <i/>
        <sz val="10"/>
        <rFont val="Arial"/>
        <family val="2"/>
      </rPr>
      <t>ogółem</t>
    </r>
  </si>
  <si>
    <t>Budowa sieci wodociągowej na terenie Gminy</t>
  </si>
  <si>
    <t>Budowa SUW Michałowice -Reguły</t>
  </si>
  <si>
    <t>Budowa sieci wodociągowej w ul. Jałowcowej w Opaczy Małej</t>
  </si>
  <si>
    <t xml:space="preserve">Modernizacja SUW Komorów </t>
  </si>
  <si>
    <r>
      <t xml:space="preserve">program 3 </t>
    </r>
    <r>
      <rPr>
        <b/>
        <i/>
        <sz val="10"/>
        <rFont val="Arial"/>
        <family val="2"/>
      </rPr>
      <t xml:space="preserve">Budowa Dróg w Gminie Michałowice </t>
    </r>
    <r>
      <rPr>
        <i/>
        <sz val="10"/>
        <rFont val="Arial"/>
        <family val="2"/>
      </rPr>
      <t>ogółem</t>
    </r>
  </si>
  <si>
    <t>Przebudowa ul. Akacjowej w Opaczy Kol.</t>
  </si>
  <si>
    <t>Budowa ciągu pieszo-rowerowego Reguły-Pęcice ul. Powstańców Warszawy</t>
  </si>
  <si>
    <t>Przebudowa ul. Bodycha w Regułach i Opaczy Kol.</t>
  </si>
  <si>
    <t>Budowa Alei Jana Pawła II w Komorowie</t>
  </si>
  <si>
    <t>Budowa systemu ścieżek rowerowych</t>
  </si>
  <si>
    <r>
      <t xml:space="preserve">program 4  </t>
    </r>
    <r>
      <rPr>
        <b/>
        <i/>
        <sz val="10"/>
        <rFont val="Arial"/>
        <family val="2"/>
      </rPr>
      <t xml:space="preserve">Budowa Urządzeń Odwadniających i Małej Retencji w Gminie Michałowice </t>
    </r>
    <r>
      <rPr>
        <i/>
        <sz val="10"/>
        <rFont val="Arial"/>
        <family val="2"/>
      </rPr>
      <t>ogółem</t>
    </r>
  </si>
  <si>
    <t>Budowa zbiornika retencyjnego w Michałowicach</t>
  </si>
  <si>
    <t>Odwodnienie Pęcic Małych</t>
  </si>
  <si>
    <t>Budowa odwodnienia w Michałowicach Wsi</t>
  </si>
  <si>
    <t>Przebudowa rowu U-1 odwadniającego wraz z budową zbiornika retencyjnego w dolinie rzeki Raszynki</t>
  </si>
  <si>
    <t>Odwodnienie na terenie Gminy (dok. proj. i wyk)</t>
  </si>
  <si>
    <r>
      <t xml:space="preserve">program 5  </t>
    </r>
    <r>
      <rPr>
        <b/>
        <i/>
        <sz val="10"/>
        <rFont val="Arial"/>
        <family val="2"/>
      </rPr>
      <t xml:space="preserve">Budowa Budynków Użyteczności Publicznej w Gminie Michałowice </t>
    </r>
    <r>
      <rPr>
        <i/>
        <sz val="10"/>
        <rFont val="Arial"/>
        <family val="2"/>
      </rPr>
      <t>ogółem</t>
    </r>
  </si>
  <si>
    <t xml:space="preserve">Dofinansowanie projektu realizowanego przez Samorząd województwa w ramach porozumienia </t>
  </si>
  <si>
    <t>Rozbudowa Szkoły w Michałowicach</t>
  </si>
  <si>
    <t>Budowa budynków socjalnych</t>
  </si>
  <si>
    <t>Zakupy mienia komunalnego</t>
  </si>
  <si>
    <t>Zakupy inwestycyjne Urzędu Gminy (zakup oprogramowania, sprzętu biurowego).</t>
  </si>
  <si>
    <t>Budowa zespołu szkolno-przeszkolnego w Regułach</t>
  </si>
  <si>
    <t xml:space="preserve">Budowa gminnego przedszkola w Granicy </t>
  </si>
  <si>
    <t>Modernizacja budynku przedszkola wraz z modernizacją placu zabaw w Nowej Wsi</t>
  </si>
  <si>
    <t xml:space="preserve">Modernizacja budynku przedszkola w Michałowicach </t>
  </si>
  <si>
    <r>
      <t xml:space="preserve">program 6  </t>
    </r>
    <r>
      <rPr>
        <b/>
        <i/>
        <sz val="10"/>
        <rFont val="Arial"/>
        <family val="2"/>
      </rPr>
      <t xml:space="preserve">Oświetlenie Terenów Publicznych w Gminie Michałowice </t>
    </r>
    <r>
      <rPr>
        <i/>
        <sz val="10"/>
        <rFont val="Arial"/>
        <family val="2"/>
      </rPr>
      <t>ogółem</t>
    </r>
  </si>
  <si>
    <t>Modernizacja oświetlenia ulicznego na terenie gminy (dok. i wyk.)</t>
  </si>
  <si>
    <r>
      <t xml:space="preserve">program 7  </t>
    </r>
    <r>
      <rPr>
        <b/>
        <i/>
        <sz val="10"/>
        <rFont val="Arial"/>
        <family val="2"/>
      </rPr>
      <t xml:space="preserve">Budowa Budynków Użyteczności Publicznej w Gminie Michałowice </t>
    </r>
    <r>
      <rPr>
        <i/>
        <sz val="10"/>
        <rFont val="Arial"/>
        <family val="2"/>
      </rPr>
      <t>ogółem</t>
    </r>
  </si>
  <si>
    <r>
      <t xml:space="preserve">program 8  </t>
    </r>
    <r>
      <rPr>
        <b/>
        <i/>
        <sz val="10"/>
        <rFont val="Arial"/>
        <family val="2"/>
      </rPr>
      <t xml:space="preserve">Budowa Ośrodków Sportu i Rekreacji w Gminie Michałowice </t>
    </r>
    <r>
      <rPr>
        <i/>
        <sz val="10"/>
        <rFont val="Arial"/>
        <family val="2"/>
      </rPr>
      <t>ogółem</t>
    </r>
  </si>
  <si>
    <t>Budowa boisk w Pęcicach Małych</t>
  </si>
  <si>
    <r>
      <t>program 1</t>
    </r>
    <r>
      <rPr>
        <i/>
        <sz val="10"/>
        <rFont val="Arial"/>
        <family val="2"/>
      </rPr>
      <t xml:space="preserve"> </t>
    </r>
    <r>
      <rPr>
        <b/>
        <i/>
        <sz val="10"/>
        <rFont val="Arial"/>
        <family val="2"/>
      </rPr>
      <t xml:space="preserve">Budowa Kanalizacji Sanitarnej w Gminie Michałowice </t>
    </r>
    <r>
      <rPr>
        <i/>
        <sz val="10"/>
        <rFont val="Arial"/>
        <family val="2"/>
      </rPr>
      <t>ogółem</t>
    </r>
  </si>
  <si>
    <t>Budowa ośrodka dziennego pobytu dla ludzi starszych</t>
  </si>
  <si>
    <t>Budowa przykanalików sanitarnych i odcinków sieci kanalizacyjnej w ulicach gdzie kanalizacja sanitarna została wybudowana w latach ubiegłych</t>
  </si>
  <si>
    <t xml:space="preserve">Sieć wodociągowa na terenie Gminy (obsługa geodezyjna, opracowanie dok. proj., w tym do budynków "Pęcice Ogród" i ul. Kubusia Puchatka w Granicy) </t>
  </si>
  <si>
    <t>Budowa świetlicy w Komorowie Wsi</t>
  </si>
  <si>
    <t>Budowa ośrodka kultury w Komorowie</t>
  </si>
  <si>
    <t>Rozbudowa szkoły w Komorowie wraz z wykonaniem lodowiska</t>
  </si>
  <si>
    <t xml:space="preserve">Budowa budynku Urzędu Gminy wraz z lokalami użytkowymi (w tym pomieszczenie dla punktu przedszkolnego) i infrastrukturą techniczną </t>
  </si>
  <si>
    <t>Rozbudowa Szkoły w Nowej Wsi/Granicy</t>
  </si>
  <si>
    <t>Budowa kanalizacji sanitarnej w ul. Sosnowej, Badylarskiej, Środkowej, Górnej, Bez Nazwy(od ul. Środkowej do Al.Jerozolimskich) w Opaczy Kol.</t>
  </si>
  <si>
    <t>Budowa kanalizacji sanitarnej w ul. Wandy, Sportowej w Nowej Wsi</t>
  </si>
  <si>
    <t>Przebudowa ul. Makowej, Studziennej, Jasnej, Grabowej, Ewy, Malinowej, Willowej w Opaczy Kol.</t>
  </si>
  <si>
    <r>
      <t xml:space="preserve">Przebudowa ul.: Kasztanowej, Poniatowskiego w M-cach Wsi, Wesołej, </t>
    </r>
    <r>
      <rPr>
        <sz val="9"/>
        <rFont val="Times New Roman CE"/>
        <family val="0"/>
      </rPr>
      <t>Regulskiej</t>
    </r>
    <r>
      <rPr>
        <sz val="9"/>
        <rFont val="Times New Roman CE"/>
        <family val="1"/>
      </rPr>
      <t>, Kolejowej, Topolowej w M-cach.</t>
    </r>
  </si>
  <si>
    <t>Przebudowa ul. 3 Maja, Kościuszki, Mickiewicza, Partyzantów, Wojska Polskiego, Rumuńskiej, Żytniej, Ks. Popiełuszki, Raszyńskiej, Lotniczej, Kwiatowej w M-cach</t>
  </si>
  <si>
    <r>
      <t xml:space="preserve">Przebudowa </t>
    </r>
    <r>
      <rPr>
        <sz val="9"/>
        <rFont val="Times New Roman CE"/>
        <family val="0"/>
      </rPr>
      <t>ul. Środkowej</t>
    </r>
    <r>
      <rPr>
        <u val="single"/>
        <sz val="9"/>
        <rFont val="Times New Roman CE"/>
        <family val="0"/>
      </rPr>
      <t xml:space="preserve"> </t>
    </r>
    <r>
      <rPr>
        <sz val="9"/>
        <rFont val="Times New Roman CE"/>
        <family val="1"/>
      </rPr>
      <t>w Opaczy Kol.</t>
    </r>
  </si>
  <si>
    <t>Przebudowa ul. Kamień Polny, Przepiórki, Ks. Woźniaka, Leśnej, Brzozowej w Pęcicach Małych</t>
  </si>
  <si>
    <t>Przebudowa ul.  Kurpińskiego, Sobieskiego, Wiejskiej, Kotońskiego, Moniuszki, Poniatowskiego, Kraszewskiego, Mazurskiej, 3Maja (dok), Kredytowej (dok), Kujawskiej (dok) w Komorowie</t>
  </si>
  <si>
    <t>Przebudowa ul. Głównej w Komorowie Wsi</t>
  </si>
  <si>
    <t>Przebudowa ul. Rodzinnej w Sokołowie</t>
  </si>
  <si>
    <r>
      <t xml:space="preserve">Przebudowa ul. </t>
    </r>
    <r>
      <rPr>
        <sz val="9"/>
        <rFont val="Times New Roman CE"/>
        <family val="0"/>
      </rPr>
      <t>Jaśminowej</t>
    </r>
    <r>
      <rPr>
        <sz val="9"/>
        <rFont val="Times New Roman CE"/>
        <family val="1"/>
      </rPr>
      <t>, Różanej, Tulipanów, Granicznej i Słonecznej w Nowej Wsi.</t>
    </r>
  </si>
  <si>
    <t>Budowa sieci kanalizacyjnej na terenie Gminy, w tym m.in..: ul. Dębowa (dok), Cisowa, Cyprysowa, Lawendowa, Dziewanny (dok), Kubusia Puchatka, boczna od ul. Długiej w Granicy, ul. Starego Dębu w Komorowie Wsi, ul. Leśna w Pęcicach Małych, ul. Topolowej (dok) w Michałowicach, ul. Piachy i Sokołowska w Pęcicach</t>
  </si>
  <si>
    <t>Przebebudowa ul. Brzozowej i Al.. M. Dąbrowskiej w Komorowie - dofinansowanie inwestycji powiatowej</t>
  </si>
  <si>
    <t>Budowa sieci wodociągowej w ul.Sosnowej, Daktylowej i Klonowej w Opaczy Kol.</t>
  </si>
  <si>
    <t>Przebudowa ul. Orzeszkowej, Daniłowskiego, Baczyńskiego, Działkowej i Żytniej (dok) w Regułach</t>
  </si>
  <si>
    <t>Przebudowa ul. Polnej, Bugaj, Turystycznej, Słonecznej  w Komorowie Wsi</t>
  </si>
  <si>
    <t>Przebudowa ul. Warszawskiej (strona północna i południowa), Poprzecznej, Piaskowej, Dębowej (dok), Kochanowskiego (dok), Skośnej (dok), Sabały (dok), Okrężnej (dok) w Granicy</t>
  </si>
  <si>
    <t>Wykonano dokumentację na przyłącza wodociągowe w ul. Centralnej</t>
  </si>
  <si>
    <t>Wykonano dokumentację</t>
  </si>
  <si>
    <t>Wykonano przebudowę ul. Regulskiej</t>
  </si>
  <si>
    <t>Wykonano przebudowę ul. Daniłowskiego i Baczyńskiego</t>
  </si>
  <si>
    <t>xero map</t>
  </si>
  <si>
    <t>Wykonano przebudowę ul Sobieskiego</t>
  </si>
  <si>
    <t>X</t>
  </si>
  <si>
    <t>Ciągła realizacja</t>
  </si>
  <si>
    <t>xero mapy</t>
  </si>
  <si>
    <t>Wykonano kanalizację w ul. Sosnowej</t>
  </si>
  <si>
    <t>Wykonano kanalizację w ul. Kubusia Puchatka i w bocznej od ul. Długiej</t>
  </si>
  <si>
    <t>Wykonano kanalizację w ul. Wandy</t>
  </si>
  <si>
    <t>Wykonano kanalizację w ul. Kubusia Puchatka i w bocznej od ul. Długiej oraz przedłużenie sieci kan. w ul. Słowików</t>
  </si>
  <si>
    <t>Wykonano przedłużenie sieci wodociągowej w ul. Słowików</t>
  </si>
  <si>
    <t>Wykonano: - odwodnienie ul Długiej w Granicy, - drenaż ul. Dzikiej w Pęcicach Małych, - drenaż w ul. Spacerowej w Nowej Wsi, -rów przy ul. Zacisznej w Regułach, odwodnie Przedszkola w Nowej Wsi</t>
  </si>
  <si>
    <t>Przekazano dotacje dla Urzędu Wojewódzkiego</t>
  </si>
  <si>
    <t>Rozpoczęcie inwestycji w przyszłych latach</t>
  </si>
  <si>
    <t>Rozpoczęcie inwestycji w drugiej połowie bieżącego roku</t>
  </si>
  <si>
    <t xml:space="preserve"> Druga połowa bieżącego roku</t>
  </si>
  <si>
    <t>Zadanie zostało wykonane</t>
  </si>
  <si>
    <t>Realizacja na bieżąco</t>
  </si>
  <si>
    <t>Dokumentacja projektowa - druga połowa roku</t>
  </si>
  <si>
    <t>Nie rozpoczęto realizacji</t>
  </si>
  <si>
    <t>Realizacja po opracowaniu dokumentacji</t>
  </si>
  <si>
    <t>Rozpoczęcie inwestycji w przyszłych latach po opracowaniu koncepcji odwodnienia terenów Gminy Michałowice</t>
  </si>
  <si>
    <t>Realizowane na bieżąco</t>
  </si>
  <si>
    <t>Rozpoczęcie inwestycji po uzyskaniu terenu na zadanie</t>
  </si>
  <si>
    <t xml:space="preserve">Wykonanie przedsięwzięć za I półrocze 2011 rok                                                                          Załącznik nr 2 do Zarządzenia Nr 124/2011 Wójta Gminy Michałowice z dnia 12 sierpnia 2011  </t>
  </si>
  <si>
    <t>Realizacja inwestycji</t>
  </si>
  <si>
    <t>Wykonano wodociąg w ul. Sosnowej, Klonowej oraz podpisano umowe na wyk. wodociągu w ul. Daktylowej</t>
  </si>
  <si>
    <t>Wykonanie przedsięwzięć za I półrocze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</si>
</sst>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_ ;[Red]\-#,##0\ "/>
    <numFmt numFmtId="169" formatCode="[$-415]d\ mmmm\ yyyy"/>
    <numFmt numFmtId="170" formatCode="00\-000"/>
  </numFmts>
  <fonts count="13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Times New Roman CE"/>
      <family val="1"/>
    </font>
    <font>
      <sz val="9"/>
      <name val="Arial"/>
      <family val="2"/>
    </font>
    <font>
      <sz val="9"/>
      <name val="Times New Roman"/>
      <family val="1"/>
    </font>
    <font>
      <i/>
      <sz val="9"/>
      <name val="Times New Roman CE"/>
      <family val="0"/>
    </font>
    <font>
      <u val="single"/>
      <sz val="9"/>
      <name val="Times New Roman CE"/>
      <family val="0"/>
    </font>
    <font>
      <i/>
      <sz val="9"/>
      <name val="Times New Roman"/>
      <family val="1"/>
    </font>
    <font>
      <b/>
      <sz val="20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0" fillId="0" borderId="1" xfId="0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3" fontId="0" fillId="0" borderId="1" xfId="0" applyNumberFormat="1" applyFont="1" applyBorder="1" applyAlignment="1" quotePrefix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1" fontId="0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justify" vertical="top" wrapText="1"/>
    </xf>
    <xf numFmtId="0" fontId="6" fillId="0" borderId="1" xfId="0" applyFont="1" applyFill="1" applyBorder="1" applyAlignment="1">
      <alignment horizontal="justify" vertical="top" wrapText="1"/>
    </xf>
    <xf numFmtId="3" fontId="7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justify" vertical="top" wrapText="1"/>
    </xf>
    <xf numFmtId="0" fontId="6" fillId="0" borderId="1" xfId="0" applyFont="1" applyFill="1" applyBorder="1" applyAlignment="1">
      <alignment horizontal="justify" vertical="top" wrapText="1"/>
    </xf>
    <xf numFmtId="3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168" fontId="6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 vertical="top" wrapText="1"/>
    </xf>
    <xf numFmtId="168" fontId="9" fillId="0" borderId="1" xfId="0" applyNumberFormat="1" applyFont="1" applyBorder="1" applyAlignment="1">
      <alignment/>
    </xf>
    <xf numFmtId="168" fontId="6" fillId="0" borderId="1" xfId="0" applyNumberFormat="1" applyFont="1" applyBorder="1" applyAlignment="1">
      <alignment/>
    </xf>
    <xf numFmtId="0" fontId="3" fillId="0" borderId="0" xfId="0" applyFont="1" applyAlignment="1">
      <alignment/>
    </xf>
    <xf numFmtId="0" fontId="6" fillId="0" borderId="1" xfId="0" applyFont="1" applyBorder="1" applyAlignment="1">
      <alignment horizontal="justify" vertical="center" wrapText="1"/>
    </xf>
    <xf numFmtId="3" fontId="1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12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vertical="top" wrapText="1"/>
    </xf>
    <xf numFmtId="4" fontId="0" fillId="0" borderId="1" xfId="0" applyNumberFormat="1" applyFont="1" applyBorder="1" applyAlignment="1">
      <alignment vertical="top" wrapText="1"/>
    </xf>
    <xf numFmtId="4" fontId="7" fillId="0" borderId="1" xfId="0" applyNumberFormat="1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4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top"/>
    </xf>
    <xf numFmtId="0" fontId="0" fillId="0" borderId="0" xfId="0" applyAlignment="1">
      <alignment/>
    </xf>
    <xf numFmtId="0" fontId="0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right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 wrapText="1"/>
    </xf>
    <xf numFmtId="3" fontId="1" fillId="0" borderId="1" xfId="0" applyNumberFormat="1" applyFont="1" applyBorder="1" applyAlignment="1">
      <alignment horizontal="right" vertical="top" wrapText="1"/>
    </xf>
    <xf numFmtId="0" fontId="0" fillId="0" borderId="1" xfId="0" applyFont="1" applyBorder="1" applyAlignment="1">
      <alignment horizontal="right" vertical="top" wrapText="1"/>
    </xf>
    <xf numFmtId="4" fontId="1" fillId="0" borderId="1" xfId="0" applyNumberFormat="1" applyFont="1" applyBorder="1" applyAlignment="1">
      <alignment horizontal="right" vertical="top" wrapText="1"/>
    </xf>
    <xf numFmtId="3" fontId="1" fillId="0" borderId="1" xfId="0" applyNumberFormat="1" applyFont="1" applyBorder="1" applyAlignment="1">
      <alignment horizontal="right" vertical="center" wrapText="1"/>
    </xf>
    <xf numFmtId="3" fontId="7" fillId="0" borderId="1" xfId="0" applyNumberFormat="1" applyFont="1" applyBorder="1" applyAlignment="1">
      <alignment horizontal="right" vertical="center" wrapText="1"/>
    </xf>
    <xf numFmtId="3" fontId="8" fillId="0" borderId="1" xfId="0" applyNumberFormat="1" applyFont="1" applyBorder="1" applyAlignment="1">
      <alignment horizontal="right" vertical="center" wrapText="1"/>
    </xf>
    <xf numFmtId="168" fontId="6" fillId="0" borderId="1" xfId="0" applyNumberFormat="1" applyFont="1" applyBorder="1" applyAlignment="1">
      <alignment horizontal="right"/>
    </xf>
    <xf numFmtId="168" fontId="6" fillId="0" borderId="1" xfId="0" applyNumberFormat="1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3" fontId="0" fillId="0" borderId="0" xfId="0" applyNumberFormat="1" applyAlignment="1">
      <alignment horizontal="right"/>
    </xf>
    <xf numFmtId="4" fontId="7" fillId="0" borderId="1" xfId="0" applyNumberFormat="1" applyFont="1" applyBorder="1" applyAlignment="1">
      <alignment horizontal="right" vertical="center" wrapText="1"/>
    </xf>
    <xf numFmtId="4" fontId="1" fillId="0" borderId="1" xfId="0" applyNumberFormat="1" applyFont="1" applyBorder="1" applyAlignment="1">
      <alignment horizontal="right" vertical="center" wrapText="1"/>
    </xf>
    <xf numFmtId="4" fontId="8" fillId="0" borderId="1" xfId="0" applyNumberFormat="1" applyFont="1" applyBorder="1" applyAlignment="1">
      <alignment horizontal="right" vertical="center" wrapText="1"/>
    </xf>
    <xf numFmtId="168" fontId="6" fillId="0" borderId="1" xfId="0" applyNumberFormat="1" applyFont="1" applyBorder="1" applyAlignment="1">
      <alignment horizontal="right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6"/>
  <sheetViews>
    <sheetView tabSelected="1" view="pageBreakPreview" zoomScaleSheetLayoutView="100" workbookViewId="0" topLeftCell="A1">
      <pane xSplit="8" ySplit="5" topLeftCell="I75" activePane="bottomRight" state="frozen"/>
      <selection pane="topLeft" activeCell="A1" sqref="A1"/>
      <selection pane="topRight" activeCell="I1" sqref="I1"/>
      <selection pane="bottomLeft" activeCell="A6" sqref="A6"/>
      <selection pane="bottomRight" activeCell="A30" sqref="A30"/>
    </sheetView>
  </sheetViews>
  <sheetFormatPr defaultColWidth="9.140625" defaultRowHeight="12.75"/>
  <cols>
    <col min="1" max="1" width="27.421875" style="0" customWidth="1"/>
    <col min="2" max="2" width="17.28125" style="0" customWidth="1"/>
    <col min="3" max="3" width="6.28125" style="0" customWidth="1"/>
    <col min="4" max="5" width="6.140625" style="0" customWidth="1"/>
    <col min="6" max="6" width="7.7109375" style="0" customWidth="1"/>
    <col min="7" max="7" width="11.421875" style="0" customWidth="1"/>
    <col min="8" max="8" width="13.28125" style="0" hidden="1" customWidth="1"/>
    <col min="9" max="9" width="12.7109375" style="57" bestFit="1" customWidth="1"/>
    <col min="10" max="10" width="18.421875" style="32" customWidth="1"/>
    <col min="11" max="11" width="23.140625" style="31" customWidth="1"/>
    <col min="12" max="17" width="11.7109375" style="0" bestFit="1" customWidth="1"/>
    <col min="18" max="18" width="10.57421875" style="0" customWidth="1"/>
    <col min="19" max="20" width="11.00390625" style="0" bestFit="1" customWidth="1"/>
    <col min="21" max="21" width="11.7109375" style="0" customWidth="1"/>
  </cols>
  <sheetData>
    <row r="1" spans="1:21" ht="25.5" customHeight="1">
      <c r="A1" s="34" t="s">
        <v>116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</row>
    <row r="2" spans="1:21" ht="12.75">
      <c r="A2" s="40" t="s">
        <v>1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</row>
    <row r="3" spans="1:21" ht="25.5" customHeight="1">
      <c r="A3" s="39" t="s">
        <v>2</v>
      </c>
      <c r="B3" s="39" t="s">
        <v>21</v>
      </c>
      <c r="C3" s="43" t="s">
        <v>24</v>
      </c>
      <c r="D3" s="44"/>
      <c r="E3" s="39" t="s">
        <v>3</v>
      </c>
      <c r="F3" s="39"/>
      <c r="G3" s="39" t="s">
        <v>22</v>
      </c>
      <c r="H3" s="41" t="s">
        <v>23</v>
      </c>
      <c r="I3" s="39" t="s">
        <v>4</v>
      </c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 t="s">
        <v>25</v>
      </c>
    </row>
    <row r="4" spans="1:21" ht="36" customHeight="1">
      <c r="A4" s="39"/>
      <c r="B4" s="39"/>
      <c r="C4" s="45"/>
      <c r="D4" s="46"/>
      <c r="E4" s="39"/>
      <c r="F4" s="39"/>
      <c r="G4" s="39"/>
      <c r="H4" s="42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</row>
    <row r="5" spans="1:21" ht="38.25">
      <c r="A5" s="2"/>
      <c r="B5" s="2"/>
      <c r="C5" s="2" t="s">
        <v>5</v>
      </c>
      <c r="D5" s="2" t="s">
        <v>6</v>
      </c>
      <c r="E5" s="2" t="s">
        <v>7</v>
      </c>
      <c r="F5" s="2" t="s">
        <v>8</v>
      </c>
      <c r="G5" s="2"/>
      <c r="H5" s="2"/>
      <c r="I5" s="2">
        <v>2011</v>
      </c>
      <c r="J5" s="25" t="s">
        <v>119</v>
      </c>
      <c r="K5" s="25" t="s">
        <v>117</v>
      </c>
      <c r="L5" s="2">
        <v>2012</v>
      </c>
      <c r="M5" s="2">
        <v>2013</v>
      </c>
      <c r="N5" s="2">
        <v>2014</v>
      </c>
      <c r="O5" s="2">
        <v>2015</v>
      </c>
      <c r="P5" s="2">
        <v>2016</v>
      </c>
      <c r="Q5" s="2">
        <v>2017</v>
      </c>
      <c r="R5" s="2">
        <v>2018</v>
      </c>
      <c r="S5" s="2">
        <v>2019</v>
      </c>
      <c r="T5" s="2">
        <v>2020</v>
      </c>
      <c r="U5" s="2"/>
    </row>
    <row r="6" spans="1:21" ht="12.75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47">
        <v>8</v>
      </c>
      <c r="J6" s="33">
        <v>9</v>
      </c>
      <c r="K6" s="2">
        <v>10</v>
      </c>
      <c r="L6" s="33">
        <v>11</v>
      </c>
      <c r="M6" s="2">
        <v>12</v>
      </c>
      <c r="N6" s="33">
        <v>13</v>
      </c>
      <c r="O6" s="2">
        <v>14</v>
      </c>
      <c r="P6" s="33">
        <v>15</v>
      </c>
      <c r="Q6" s="2">
        <v>16</v>
      </c>
      <c r="R6" s="33">
        <v>17</v>
      </c>
      <c r="S6" s="2">
        <v>18</v>
      </c>
      <c r="T6" s="33">
        <v>19</v>
      </c>
      <c r="U6" s="2">
        <v>20</v>
      </c>
    </row>
    <row r="7" spans="1:21" ht="12.75">
      <c r="A7" s="37" t="s">
        <v>9</v>
      </c>
      <c r="B7" s="37"/>
      <c r="C7" s="37"/>
      <c r="D7" s="37"/>
      <c r="E7" s="37"/>
      <c r="F7" s="37"/>
      <c r="G7" s="19">
        <f>G8+G9</f>
        <v>175560297</v>
      </c>
      <c r="H7" s="19"/>
      <c r="I7" s="48">
        <f>I8+I9</f>
        <v>23137274</v>
      </c>
      <c r="J7" s="27"/>
      <c r="K7" s="27"/>
      <c r="L7" s="19">
        <f aca="true" t="shared" si="0" ref="L7:T7">L8+L9</f>
        <v>17330133</v>
      </c>
      <c r="M7" s="19">
        <f t="shared" si="0"/>
        <v>15185977</v>
      </c>
      <c r="N7" s="19">
        <f t="shared" si="0"/>
        <v>17639719</v>
      </c>
      <c r="O7" s="19">
        <f t="shared" si="0"/>
        <v>12733592</v>
      </c>
      <c r="P7" s="19">
        <f t="shared" si="0"/>
        <v>13678165</v>
      </c>
      <c r="Q7" s="19">
        <f t="shared" si="0"/>
        <v>15290140</v>
      </c>
      <c r="R7" s="19">
        <f t="shared" si="0"/>
        <v>18308109</v>
      </c>
      <c r="S7" s="19">
        <f t="shared" si="0"/>
        <v>21445489</v>
      </c>
      <c r="T7" s="19">
        <f t="shared" si="0"/>
        <v>20811699</v>
      </c>
      <c r="U7" s="3"/>
    </row>
    <row r="8" spans="1:21" ht="12.75">
      <c r="A8" s="37" t="s">
        <v>10</v>
      </c>
      <c r="B8" s="37"/>
      <c r="C8" s="37"/>
      <c r="D8" s="37"/>
      <c r="E8" s="37"/>
      <c r="F8" s="37"/>
      <c r="G8" s="19"/>
      <c r="H8" s="3"/>
      <c r="I8" s="49"/>
      <c r="J8" s="28"/>
      <c r="K8" s="28"/>
      <c r="L8" s="3"/>
      <c r="M8" s="3"/>
      <c r="N8" s="3"/>
      <c r="O8" s="3"/>
      <c r="P8" s="3"/>
      <c r="Q8" s="3"/>
      <c r="R8" s="3"/>
      <c r="S8" s="3"/>
      <c r="T8" s="3"/>
      <c r="U8" s="3"/>
    </row>
    <row r="9" spans="1:21" ht="12.75">
      <c r="A9" s="37" t="s">
        <v>11</v>
      </c>
      <c r="B9" s="37"/>
      <c r="C9" s="37"/>
      <c r="D9" s="37"/>
      <c r="E9" s="37"/>
      <c r="F9" s="37"/>
      <c r="G9" s="19">
        <f>G12</f>
        <v>175560297</v>
      </c>
      <c r="H9" s="19"/>
      <c r="I9" s="48">
        <f aca="true" t="shared" si="1" ref="I9:T9">I12</f>
        <v>23137274</v>
      </c>
      <c r="J9" s="27">
        <f t="shared" si="1"/>
        <v>6212828.5</v>
      </c>
      <c r="K9" s="19"/>
      <c r="L9" s="19">
        <f t="shared" si="1"/>
        <v>17330133</v>
      </c>
      <c r="M9" s="19">
        <f t="shared" si="1"/>
        <v>15185977</v>
      </c>
      <c r="N9" s="19">
        <f t="shared" si="1"/>
        <v>17639719</v>
      </c>
      <c r="O9" s="19">
        <f t="shared" si="1"/>
        <v>12733592</v>
      </c>
      <c r="P9" s="19">
        <f t="shared" si="1"/>
        <v>13678165</v>
      </c>
      <c r="Q9" s="19">
        <f t="shared" si="1"/>
        <v>15290140</v>
      </c>
      <c r="R9" s="19">
        <f t="shared" si="1"/>
        <v>18308109</v>
      </c>
      <c r="S9" s="19">
        <f t="shared" si="1"/>
        <v>21445489</v>
      </c>
      <c r="T9" s="19">
        <f t="shared" si="1"/>
        <v>20811699</v>
      </c>
      <c r="U9" s="3"/>
    </row>
    <row r="10" spans="1:21" ht="12.75">
      <c r="A10" s="37" t="s">
        <v>12</v>
      </c>
      <c r="B10" s="37"/>
      <c r="C10" s="37"/>
      <c r="D10" s="37"/>
      <c r="E10" s="37"/>
      <c r="F10" s="37"/>
      <c r="G10" s="19">
        <f>G11+G12</f>
        <v>175560297</v>
      </c>
      <c r="H10" s="19"/>
      <c r="I10" s="48">
        <f aca="true" t="shared" si="2" ref="I10:T10">I11+I12</f>
        <v>23137274</v>
      </c>
      <c r="J10" s="27">
        <f t="shared" si="2"/>
        <v>6212828.5</v>
      </c>
      <c r="K10" s="19"/>
      <c r="L10" s="19">
        <f t="shared" si="2"/>
        <v>17330133</v>
      </c>
      <c r="M10" s="19">
        <f t="shared" si="2"/>
        <v>15185977</v>
      </c>
      <c r="N10" s="19">
        <f t="shared" si="2"/>
        <v>17639719</v>
      </c>
      <c r="O10" s="19">
        <f t="shared" si="2"/>
        <v>12733592</v>
      </c>
      <c r="P10" s="19">
        <f t="shared" si="2"/>
        <v>13678165</v>
      </c>
      <c r="Q10" s="19">
        <f t="shared" si="2"/>
        <v>15290140</v>
      </c>
      <c r="R10" s="19">
        <f t="shared" si="2"/>
        <v>18308109</v>
      </c>
      <c r="S10" s="19">
        <f t="shared" si="2"/>
        <v>21445489</v>
      </c>
      <c r="T10" s="19">
        <f t="shared" si="2"/>
        <v>20811699</v>
      </c>
      <c r="U10" s="3"/>
    </row>
    <row r="11" spans="1:21" ht="12.75">
      <c r="A11" s="37" t="s">
        <v>10</v>
      </c>
      <c r="B11" s="37"/>
      <c r="C11" s="37"/>
      <c r="D11" s="37"/>
      <c r="E11" s="37"/>
      <c r="F11" s="37"/>
      <c r="G11" s="19"/>
      <c r="H11" s="3"/>
      <c r="I11" s="49"/>
      <c r="J11" s="28"/>
      <c r="K11" s="28"/>
      <c r="L11" s="3"/>
      <c r="M11" s="3"/>
      <c r="N11" s="3"/>
      <c r="O11" s="3"/>
      <c r="P11" s="3"/>
      <c r="Q11" s="3"/>
      <c r="R11" s="3"/>
      <c r="S11" s="3"/>
      <c r="T11" s="3"/>
      <c r="U11" s="3"/>
    </row>
    <row r="12" spans="1:21" ht="12.75">
      <c r="A12" s="37" t="s">
        <v>11</v>
      </c>
      <c r="B12" s="37"/>
      <c r="C12" s="37"/>
      <c r="D12" s="37"/>
      <c r="E12" s="37"/>
      <c r="F12" s="37"/>
      <c r="G12" s="19">
        <f>G23</f>
        <v>175560297</v>
      </c>
      <c r="H12" s="19"/>
      <c r="I12" s="50">
        <f aca="true" t="shared" si="3" ref="I12:T12">I23</f>
        <v>23137274</v>
      </c>
      <c r="J12" s="27">
        <f t="shared" si="3"/>
        <v>6212828.5</v>
      </c>
      <c r="K12" s="19"/>
      <c r="L12" s="19">
        <f t="shared" si="3"/>
        <v>17330133</v>
      </c>
      <c r="M12" s="19">
        <f t="shared" si="3"/>
        <v>15185977</v>
      </c>
      <c r="N12" s="19">
        <f t="shared" si="3"/>
        <v>17639719</v>
      </c>
      <c r="O12" s="19">
        <f t="shared" si="3"/>
        <v>12733592</v>
      </c>
      <c r="P12" s="19">
        <f t="shared" si="3"/>
        <v>13678165</v>
      </c>
      <c r="Q12" s="19">
        <f t="shared" si="3"/>
        <v>15290140</v>
      </c>
      <c r="R12" s="19">
        <f t="shared" si="3"/>
        <v>18308109</v>
      </c>
      <c r="S12" s="19">
        <f t="shared" si="3"/>
        <v>21445489</v>
      </c>
      <c r="T12" s="19">
        <f t="shared" si="3"/>
        <v>20811699</v>
      </c>
      <c r="U12" s="3"/>
    </row>
    <row r="13" spans="1:21" ht="25.5" customHeight="1">
      <c r="A13" s="38" t="s">
        <v>13</v>
      </c>
      <c r="B13" s="38"/>
      <c r="C13" s="38"/>
      <c r="D13" s="38"/>
      <c r="E13" s="38"/>
      <c r="F13" s="38"/>
      <c r="G13" s="3"/>
      <c r="H13" s="3"/>
      <c r="I13" s="49"/>
      <c r="J13" s="28"/>
      <c r="K13" s="28"/>
      <c r="L13" s="3"/>
      <c r="M13" s="3"/>
      <c r="N13" s="3"/>
      <c r="O13" s="3"/>
      <c r="P13" s="3"/>
      <c r="Q13" s="3"/>
      <c r="R13" s="3"/>
      <c r="S13" s="3"/>
      <c r="T13" s="3"/>
      <c r="U13" s="3"/>
    </row>
    <row r="14" spans="1:21" ht="12.75">
      <c r="A14" s="4" t="s">
        <v>14</v>
      </c>
      <c r="B14" s="3"/>
      <c r="C14" s="3"/>
      <c r="D14" s="3"/>
      <c r="E14" s="36" t="s">
        <v>0</v>
      </c>
      <c r="F14" s="36"/>
      <c r="G14" s="3"/>
      <c r="H14" s="3"/>
      <c r="I14" s="49"/>
      <c r="J14" s="28"/>
      <c r="K14" s="28"/>
      <c r="L14" s="3"/>
      <c r="M14" s="3"/>
      <c r="N14" s="3"/>
      <c r="O14" s="3"/>
      <c r="P14" s="3"/>
      <c r="Q14" s="3"/>
      <c r="R14" s="3"/>
      <c r="S14" s="3"/>
      <c r="T14" s="3"/>
      <c r="U14" s="3"/>
    </row>
    <row r="15" spans="1:21" ht="38.25">
      <c r="A15" s="4" t="s">
        <v>15</v>
      </c>
      <c r="B15" s="3"/>
      <c r="C15" s="3"/>
      <c r="D15" s="3"/>
      <c r="E15" s="3"/>
      <c r="F15" s="3"/>
      <c r="G15" s="3"/>
      <c r="H15" s="3"/>
      <c r="I15" s="49"/>
      <c r="J15" s="28"/>
      <c r="K15" s="28"/>
      <c r="L15" s="3"/>
      <c r="M15" s="3"/>
      <c r="N15" s="3"/>
      <c r="O15" s="3"/>
      <c r="P15" s="3"/>
      <c r="Q15" s="3"/>
      <c r="R15" s="3"/>
      <c r="S15" s="3"/>
      <c r="T15" s="3"/>
      <c r="U15" s="3"/>
    </row>
    <row r="16" spans="1:21" ht="26.25" customHeight="1">
      <c r="A16" s="38" t="s">
        <v>16</v>
      </c>
      <c r="B16" s="38"/>
      <c r="C16" s="38"/>
      <c r="D16" s="38"/>
      <c r="E16" s="38"/>
      <c r="F16" s="38"/>
      <c r="G16" s="3"/>
      <c r="H16" s="3"/>
      <c r="I16" s="49"/>
      <c r="J16" s="28"/>
      <c r="K16" s="28"/>
      <c r="L16" s="3"/>
      <c r="M16" s="3"/>
      <c r="N16" s="3"/>
      <c r="O16" s="3"/>
      <c r="P16" s="3"/>
      <c r="Q16" s="3"/>
      <c r="R16" s="3"/>
      <c r="S16" s="3"/>
      <c r="T16" s="3"/>
      <c r="U16" s="3"/>
    </row>
    <row r="17" spans="1:21" ht="12.75">
      <c r="A17" s="38" t="s">
        <v>10</v>
      </c>
      <c r="B17" s="38"/>
      <c r="C17" s="38"/>
      <c r="D17" s="38"/>
      <c r="E17" s="38"/>
      <c r="F17" s="38"/>
      <c r="G17" s="3"/>
      <c r="H17" s="3"/>
      <c r="I17" s="49"/>
      <c r="J17" s="28"/>
      <c r="K17" s="28"/>
      <c r="L17" s="3"/>
      <c r="M17" s="3"/>
      <c r="N17" s="3"/>
      <c r="O17" s="3"/>
      <c r="P17" s="3"/>
      <c r="Q17" s="3"/>
      <c r="R17" s="3"/>
      <c r="S17" s="3"/>
      <c r="T17" s="3"/>
      <c r="U17" s="3"/>
    </row>
    <row r="18" spans="1:21" ht="12.75">
      <c r="A18" s="38" t="s">
        <v>11</v>
      </c>
      <c r="B18" s="38"/>
      <c r="C18" s="38"/>
      <c r="D18" s="38"/>
      <c r="E18" s="38"/>
      <c r="F18" s="38"/>
      <c r="G18" s="3"/>
      <c r="H18" s="3"/>
      <c r="I18" s="49"/>
      <c r="J18" s="28"/>
      <c r="K18" s="28"/>
      <c r="L18" s="3"/>
      <c r="M18" s="3"/>
      <c r="N18" s="3"/>
      <c r="O18" s="3"/>
      <c r="P18" s="3"/>
      <c r="Q18" s="3"/>
      <c r="R18" s="3"/>
      <c r="S18" s="3"/>
      <c r="T18" s="3"/>
      <c r="U18" s="3"/>
    </row>
    <row r="19" spans="1:21" ht="12.75">
      <c r="A19" s="4" t="s">
        <v>14</v>
      </c>
      <c r="B19" s="3"/>
      <c r="C19" s="3"/>
      <c r="D19" s="3"/>
      <c r="E19" s="36" t="s">
        <v>0</v>
      </c>
      <c r="F19" s="36"/>
      <c r="G19" s="3"/>
      <c r="H19" s="3"/>
      <c r="I19" s="49"/>
      <c r="J19" s="28"/>
      <c r="K19" s="28"/>
      <c r="L19" s="3"/>
      <c r="M19" s="3"/>
      <c r="N19" s="3"/>
      <c r="O19" s="3"/>
      <c r="P19" s="3"/>
      <c r="Q19" s="3"/>
      <c r="R19" s="3"/>
      <c r="S19" s="3"/>
      <c r="T19" s="3"/>
      <c r="U19" s="3"/>
    </row>
    <row r="20" spans="1:21" ht="38.25">
      <c r="A20" s="4" t="s">
        <v>15</v>
      </c>
      <c r="B20" s="3"/>
      <c r="C20" s="3"/>
      <c r="D20" s="3"/>
      <c r="E20" s="3"/>
      <c r="F20" s="3"/>
      <c r="G20" s="3"/>
      <c r="H20" s="3"/>
      <c r="I20" s="49"/>
      <c r="J20" s="28"/>
      <c r="K20" s="28"/>
      <c r="L20" s="3"/>
      <c r="M20" s="3"/>
      <c r="N20" s="3"/>
      <c r="O20" s="3"/>
      <c r="P20" s="3"/>
      <c r="Q20" s="3"/>
      <c r="R20" s="3"/>
      <c r="S20" s="3"/>
      <c r="T20" s="3"/>
      <c r="U20" s="3"/>
    </row>
    <row r="21" spans="1:21" ht="14.25" customHeight="1">
      <c r="A21" s="38" t="s">
        <v>17</v>
      </c>
      <c r="B21" s="38"/>
      <c r="C21" s="38"/>
      <c r="D21" s="38"/>
      <c r="E21" s="38"/>
      <c r="F21" s="38"/>
      <c r="G21" s="3"/>
      <c r="H21" s="3"/>
      <c r="I21" s="49"/>
      <c r="J21" s="28"/>
      <c r="K21" s="28"/>
      <c r="L21" s="3"/>
      <c r="M21" s="3"/>
      <c r="N21" s="3"/>
      <c r="O21" s="3"/>
      <c r="P21" s="3"/>
      <c r="Q21" s="3"/>
      <c r="R21" s="3"/>
      <c r="S21" s="3"/>
      <c r="T21" s="3"/>
      <c r="U21" s="3"/>
    </row>
    <row r="22" spans="1:21" ht="12.75">
      <c r="A22" s="38" t="s">
        <v>10</v>
      </c>
      <c r="B22" s="38"/>
      <c r="C22" s="38"/>
      <c r="D22" s="38"/>
      <c r="E22" s="38"/>
      <c r="F22" s="38"/>
      <c r="G22" s="3"/>
      <c r="H22" s="3"/>
      <c r="I22" s="49"/>
      <c r="J22" s="28"/>
      <c r="K22" s="28"/>
      <c r="L22" s="3"/>
      <c r="M22" s="3"/>
      <c r="N22" s="3"/>
      <c r="O22" s="3"/>
      <c r="P22" s="3"/>
      <c r="Q22" s="3"/>
      <c r="R22" s="3"/>
      <c r="S22" s="3"/>
      <c r="T22" s="3"/>
      <c r="U22" s="3"/>
    </row>
    <row r="23" spans="1:21" ht="12.75">
      <c r="A23" s="38" t="s">
        <v>11</v>
      </c>
      <c r="B23" s="38"/>
      <c r="C23" s="38"/>
      <c r="D23" s="38"/>
      <c r="E23" s="38"/>
      <c r="F23" s="38"/>
      <c r="G23" s="8">
        <f>G24+G31+G38+G57+G63+G77+G79+G82</f>
        <v>175560297</v>
      </c>
      <c r="H23" s="3"/>
      <c r="I23" s="51">
        <f aca="true" t="shared" si="4" ref="I23:T23">I24+I31+I38+I57+I63+I77+I79+I82</f>
        <v>23137274</v>
      </c>
      <c r="J23" s="60">
        <f t="shared" si="4"/>
        <v>6212828.5</v>
      </c>
      <c r="K23" s="8"/>
      <c r="L23" s="8">
        <f t="shared" si="4"/>
        <v>17330133</v>
      </c>
      <c r="M23" s="8">
        <f t="shared" si="4"/>
        <v>15185977</v>
      </c>
      <c r="N23" s="8">
        <f t="shared" si="4"/>
        <v>17639719</v>
      </c>
      <c r="O23" s="8">
        <f t="shared" si="4"/>
        <v>12733592</v>
      </c>
      <c r="P23" s="8">
        <f t="shared" si="4"/>
        <v>13678165</v>
      </c>
      <c r="Q23" s="8">
        <f t="shared" si="4"/>
        <v>15290140</v>
      </c>
      <c r="R23" s="8">
        <f t="shared" si="4"/>
        <v>18308109</v>
      </c>
      <c r="S23" s="8">
        <f t="shared" si="4"/>
        <v>21445489</v>
      </c>
      <c r="T23" s="8">
        <f t="shared" si="4"/>
        <v>20811699</v>
      </c>
      <c r="U23" s="3"/>
    </row>
    <row r="24" spans="1:21" ht="38.25">
      <c r="A24" s="3" t="s">
        <v>63</v>
      </c>
      <c r="B24" s="5" t="s">
        <v>26</v>
      </c>
      <c r="C24" s="5">
        <v>2011</v>
      </c>
      <c r="D24" s="5">
        <v>2020</v>
      </c>
      <c r="E24" s="36" t="s">
        <v>0</v>
      </c>
      <c r="F24" s="36"/>
      <c r="G24" s="8">
        <f>SUM(G25:G30)</f>
        <v>9602998</v>
      </c>
      <c r="H24" s="3"/>
      <c r="I24" s="51">
        <f>SUM(I25:I30)</f>
        <v>1161998</v>
      </c>
      <c r="J24" s="60">
        <f>SUM(J25:J30)</f>
        <v>558859.8</v>
      </c>
      <c r="K24" s="26" t="s">
        <v>95</v>
      </c>
      <c r="L24" s="8">
        <f aca="true" t="shared" si="5" ref="L24:T24">SUM(L25:L30)</f>
        <v>611000</v>
      </c>
      <c r="M24" s="8">
        <f t="shared" si="5"/>
        <v>1160000</v>
      </c>
      <c r="N24" s="8">
        <f t="shared" si="5"/>
        <v>1060000</v>
      </c>
      <c r="O24" s="8">
        <f t="shared" si="5"/>
        <v>360000</v>
      </c>
      <c r="P24" s="8">
        <f t="shared" si="5"/>
        <v>410000</v>
      </c>
      <c r="Q24" s="8">
        <f t="shared" si="5"/>
        <v>710000</v>
      </c>
      <c r="R24" s="8">
        <f t="shared" si="5"/>
        <v>1010000</v>
      </c>
      <c r="S24" s="8">
        <f t="shared" si="5"/>
        <v>1310000</v>
      </c>
      <c r="T24" s="8">
        <f t="shared" si="5"/>
        <v>1810000</v>
      </c>
      <c r="U24" s="3"/>
    </row>
    <row r="25" spans="1:21" ht="25.5">
      <c r="A25" s="17" t="s">
        <v>27</v>
      </c>
      <c r="B25" s="5" t="s">
        <v>26</v>
      </c>
      <c r="C25" s="9">
        <v>2011</v>
      </c>
      <c r="D25" s="9">
        <v>2014</v>
      </c>
      <c r="E25" s="7" t="s">
        <v>28</v>
      </c>
      <c r="F25" s="7" t="s">
        <v>29</v>
      </c>
      <c r="G25" s="8">
        <f aca="true" t="shared" si="6" ref="G25:G30">SUM(I25,L25:T25)</f>
        <v>252000</v>
      </c>
      <c r="H25" s="6"/>
      <c r="I25" s="52">
        <v>1000</v>
      </c>
      <c r="J25" s="59">
        <v>0</v>
      </c>
      <c r="K25" s="29" t="s">
        <v>105</v>
      </c>
      <c r="L25" s="12">
        <v>1000</v>
      </c>
      <c r="M25" s="12">
        <v>50000</v>
      </c>
      <c r="N25" s="12">
        <v>200000</v>
      </c>
      <c r="O25" s="12"/>
      <c r="P25" s="12"/>
      <c r="Q25" s="12"/>
      <c r="R25" s="12"/>
      <c r="S25" s="12"/>
      <c r="T25" s="12"/>
      <c r="U25" s="6"/>
    </row>
    <row r="26" spans="1:21" ht="50.25" customHeight="1">
      <c r="A26" s="13" t="s">
        <v>72</v>
      </c>
      <c r="B26" s="5" t="s">
        <v>26</v>
      </c>
      <c r="C26" s="9">
        <v>2011</v>
      </c>
      <c r="D26" s="9">
        <v>2014</v>
      </c>
      <c r="E26" s="7" t="s">
        <v>28</v>
      </c>
      <c r="F26" s="7" t="s">
        <v>29</v>
      </c>
      <c r="G26" s="8">
        <f t="shared" si="6"/>
        <v>1761000</v>
      </c>
      <c r="H26" s="6"/>
      <c r="I26" s="52">
        <f>200000+111000</f>
        <v>311000</v>
      </c>
      <c r="J26" s="59">
        <v>152237.7</v>
      </c>
      <c r="K26" s="29" t="s">
        <v>98</v>
      </c>
      <c r="L26" s="12">
        <v>200000</v>
      </c>
      <c r="M26" s="12">
        <v>750000</v>
      </c>
      <c r="N26" s="12">
        <v>500000</v>
      </c>
      <c r="O26" s="12"/>
      <c r="P26" s="12"/>
      <c r="Q26" s="12"/>
      <c r="R26" s="12"/>
      <c r="S26" s="12"/>
      <c r="T26" s="12"/>
      <c r="U26" s="6"/>
    </row>
    <row r="27" spans="1:21" ht="60">
      <c r="A27" s="13" t="s">
        <v>65</v>
      </c>
      <c r="B27" s="5" t="s">
        <v>26</v>
      </c>
      <c r="C27" s="9">
        <v>2011</v>
      </c>
      <c r="D27" s="9">
        <v>2020</v>
      </c>
      <c r="E27" s="7" t="s">
        <v>28</v>
      </c>
      <c r="F27" s="7" t="s">
        <v>29</v>
      </c>
      <c r="G27" s="8">
        <f t="shared" si="6"/>
        <v>1670000</v>
      </c>
      <c r="H27" s="6"/>
      <c r="I27" s="52">
        <f>150000+120000</f>
        <v>270000</v>
      </c>
      <c r="J27" s="59">
        <v>139359</v>
      </c>
      <c r="K27" s="29" t="s">
        <v>99</v>
      </c>
      <c r="L27" s="12">
        <v>100000</v>
      </c>
      <c r="M27" s="12">
        <v>100000</v>
      </c>
      <c r="N27" s="12">
        <v>100000</v>
      </c>
      <c r="O27" s="12">
        <v>100000</v>
      </c>
      <c r="P27" s="12">
        <v>100000</v>
      </c>
      <c r="Q27" s="12">
        <v>100000</v>
      </c>
      <c r="R27" s="12">
        <v>200000</v>
      </c>
      <c r="S27" s="12">
        <v>300000</v>
      </c>
      <c r="T27" s="12">
        <v>300000</v>
      </c>
      <c r="U27" s="6"/>
    </row>
    <row r="28" spans="1:21" ht="36">
      <c r="A28" s="14" t="s">
        <v>30</v>
      </c>
      <c r="B28" s="5" t="s">
        <v>26</v>
      </c>
      <c r="C28" s="9">
        <v>2011</v>
      </c>
      <c r="D28" s="9">
        <v>2020</v>
      </c>
      <c r="E28" s="7" t="s">
        <v>28</v>
      </c>
      <c r="F28" s="7" t="s">
        <v>29</v>
      </c>
      <c r="G28" s="8">
        <f t="shared" si="6"/>
        <v>100000</v>
      </c>
      <c r="H28" s="6"/>
      <c r="I28" s="52">
        <v>10000</v>
      </c>
      <c r="J28" s="59">
        <v>0</v>
      </c>
      <c r="K28" s="29" t="s">
        <v>109</v>
      </c>
      <c r="L28" s="12">
        <v>10000</v>
      </c>
      <c r="M28" s="12">
        <v>10000</v>
      </c>
      <c r="N28" s="12">
        <v>10000</v>
      </c>
      <c r="O28" s="12">
        <v>10000</v>
      </c>
      <c r="P28" s="12">
        <v>10000</v>
      </c>
      <c r="Q28" s="12">
        <v>10000</v>
      </c>
      <c r="R28" s="12">
        <v>10000</v>
      </c>
      <c r="S28" s="12">
        <v>10000</v>
      </c>
      <c r="T28" s="12">
        <v>10000</v>
      </c>
      <c r="U28" s="6"/>
    </row>
    <row r="29" spans="1:21" ht="25.5">
      <c r="A29" s="15" t="s">
        <v>73</v>
      </c>
      <c r="B29" s="5" t="s">
        <v>26</v>
      </c>
      <c r="C29" s="9">
        <v>2011</v>
      </c>
      <c r="D29" s="9">
        <v>2012</v>
      </c>
      <c r="E29" s="7" t="s">
        <v>28</v>
      </c>
      <c r="F29" s="7" t="s">
        <v>29</v>
      </c>
      <c r="G29" s="8">
        <f t="shared" si="6"/>
        <v>350000</v>
      </c>
      <c r="H29" s="6"/>
      <c r="I29" s="52">
        <v>150000</v>
      </c>
      <c r="J29" s="59">
        <v>87081.49</v>
      </c>
      <c r="K29" s="29" t="s">
        <v>100</v>
      </c>
      <c r="L29" s="12">
        <v>200000</v>
      </c>
      <c r="M29" s="12"/>
      <c r="N29" s="12"/>
      <c r="O29" s="12"/>
      <c r="P29" s="12"/>
      <c r="Q29" s="12"/>
      <c r="R29" s="12"/>
      <c r="S29" s="12"/>
      <c r="T29" s="12"/>
      <c r="U29" s="6"/>
    </row>
    <row r="30" spans="1:21" ht="120.75" customHeight="1">
      <c r="A30" s="15" t="s">
        <v>83</v>
      </c>
      <c r="B30" s="5" t="s">
        <v>26</v>
      </c>
      <c r="C30" s="6">
        <v>2011</v>
      </c>
      <c r="D30" s="6">
        <v>2020</v>
      </c>
      <c r="E30" s="7" t="s">
        <v>28</v>
      </c>
      <c r="F30" s="7" t="s">
        <v>29</v>
      </c>
      <c r="G30" s="8">
        <f t="shared" si="6"/>
        <v>5469998</v>
      </c>
      <c r="H30" s="6"/>
      <c r="I30" s="52">
        <f>269998+150000</f>
        <v>419998</v>
      </c>
      <c r="J30" s="59">
        <v>180181.61</v>
      </c>
      <c r="K30" s="29" t="s">
        <v>101</v>
      </c>
      <c r="L30" s="12">
        <v>100000</v>
      </c>
      <c r="M30" s="12">
        <v>250000</v>
      </c>
      <c r="N30" s="12">
        <v>250000</v>
      </c>
      <c r="O30" s="12">
        <v>250000</v>
      </c>
      <c r="P30" s="12">
        <v>300000</v>
      </c>
      <c r="Q30" s="12">
        <v>600000</v>
      </c>
      <c r="R30" s="12">
        <v>800000</v>
      </c>
      <c r="S30" s="12">
        <v>1000000</v>
      </c>
      <c r="T30" s="12">
        <v>1500000</v>
      </c>
      <c r="U30" s="6"/>
    </row>
    <row r="31" spans="1:21" ht="38.25">
      <c r="A31" s="4" t="s">
        <v>31</v>
      </c>
      <c r="B31" s="5" t="s">
        <v>26</v>
      </c>
      <c r="C31" s="5">
        <v>2011</v>
      </c>
      <c r="D31" s="5">
        <v>2020</v>
      </c>
      <c r="E31" s="36" t="s">
        <v>0</v>
      </c>
      <c r="F31" s="36"/>
      <c r="G31" s="8">
        <f>SUM(G32:G37)</f>
        <v>6025000</v>
      </c>
      <c r="H31" s="3"/>
      <c r="I31" s="51">
        <f>SUM(I32:I37)</f>
        <v>973000</v>
      </c>
      <c r="J31" s="60">
        <f>SUM(J32:J37)</f>
        <v>706631.97</v>
      </c>
      <c r="K31" s="26" t="s">
        <v>95</v>
      </c>
      <c r="L31" s="8">
        <f aca="true" t="shared" si="7" ref="L31:T31">SUM(L32:L37)</f>
        <v>462000</v>
      </c>
      <c r="M31" s="8">
        <f t="shared" si="7"/>
        <v>1770000</v>
      </c>
      <c r="N31" s="8">
        <f t="shared" si="7"/>
        <v>710000</v>
      </c>
      <c r="O31" s="8">
        <f t="shared" si="7"/>
        <v>610000</v>
      </c>
      <c r="P31" s="8">
        <f t="shared" si="7"/>
        <v>110000</v>
      </c>
      <c r="Q31" s="8">
        <f t="shared" si="7"/>
        <v>260000</v>
      </c>
      <c r="R31" s="8">
        <f t="shared" si="7"/>
        <v>260000</v>
      </c>
      <c r="S31" s="8">
        <f t="shared" si="7"/>
        <v>360000</v>
      </c>
      <c r="T31" s="8">
        <f t="shared" si="7"/>
        <v>510000</v>
      </c>
      <c r="U31" s="3"/>
    </row>
    <row r="32" spans="1:21" ht="30.75" customHeight="1">
      <c r="A32" s="10" t="s">
        <v>33</v>
      </c>
      <c r="B32" s="5" t="s">
        <v>26</v>
      </c>
      <c r="C32" s="5">
        <v>2011</v>
      </c>
      <c r="D32" s="5">
        <v>2015</v>
      </c>
      <c r="E32" s="7" t="s">
        <v>28</v>
      </c>
      <c r="F32" s="7" t="s">
        <v>29</v>
      </c>
      <c r="G32" s="8">
        <f>SUM(I32,L32:T32)</f>
        <v>1012000</v>
      </c>
      <c r="H32" s="3"/>
      <c r="I32" s="53">
        <v>1000</v>
      </c>
      <c r="J32" s="61">
        <v>0</v>
      </c>
      <c r="K32" s="29" t="s">
        <v>105</v>
      </c>
      <c r="L32" s="16">
        <v>1000</v>
      </c>
      <c r="M32" s="16">
        <v>10000</v>
      </c>
      <c r="N32" s="16">
        <v>500000</v>
      </c>
      <c r="O32" s="16">
        <v>500000</v>
      </c>
      <c r="P32" s="16"/>
      <c r="Q32" s="16"/>
      <c r="R32" s="16"/>
      <c r="S32" s="16"/>
      <c r="T32" s="16"/>
      <c r="U32" s="3"/>
    </row>
    <row r="33" spans="1:21" ht="25.5">
      <c r="A33" s="10" t="s">
        <v>34</v>
      </c>
      <c r="B33" s="5" t="s">
        <v>26</v>
      </c>
      <c r="C33" s="5">
        <v>2011</v>
      </c>
      <c r="D33" s="5">
        <v>2014</v>
      </c>
      <c r="E33" s="7" t="s">
        <v>28</v>
      </c>
      <c r="F33" s="7" t="s">
        <v>29</v>
      </c>
      <c r="G33" s="8">
        <f aca="true" t="shared" si="8" ref="G33:G81">SUM(I33,L33:T33)</f>
        <v>152000</v>
      </c>
      <c r="H33" s="3"/>
      <c r="I33" s="53">
        <v>1000</v>
      </c>
      <c r="J33" s="61">
        <v>0</v>
      </c>
      <c r="K33" s="29" t="s">
        <v>105</v>
      </c>
      <c r="L33" s="16">
        <v>1000</v>
      </c>
      <c r="M33" s="16">
        <v>50000</v>
      </c>
      <c r="N33" s="16">
        <v>100000</v>
      </c>
      <c r="O33" s="16"/>
      <c r="P33" s="16"/>
      <c r="Q33" s="16"/>
      <c r="R33" s="16"/>
      <c r="S33" s="16"/>
      <c r="T33" s="16"/>
      <c r="U33" s="3"/>
    </row>
    <row r="34" spans="1:21" ht="51" customHeight="1">
      <c r="A34" s="10" t="s">
        <v>85</v>
      </c>
      <c r="B34" s="5" t="s">
        <v>26</v>
      </c>
      <c r="C34" s="5">
        <v>2011</v>
      </c>
      <c r="D34" s="5">
        <v>2013</v>
      </c>
      <c r="E34" s="7" t="s">
        <v>28</v>
      </c>
      <c r="F34" s="7" t="s">
        <v>29</v>
      </c>
      <c r="G34" s="8">
        <f t="shared" si="8"/>
        <v>450000</v>
      </c>
      <c r="H34" s="3"/>
      <c r="I34" s="53">
        <f>50000+100000</f>
        <v>150000</v>
      </c>
      <c r="J34" s="61">
        <v>99811.47</v>
      </c>
      <c r="K34" s="29" t="s">
        <v>118</v>
      </c>
      <c r="L34" s="16">
        <v>100000</v>
      </c>
      <c r="M34" s="16">
        <v>200000</v>
      </c>
      <c r="N34" s="16"/>
      <c r="O34" s="16"/>
      <c r="P34" s="16"/>
      <c r="Q34" s="16"/>
      <c r="R34" s="16"/>
      <c r="S34" s="16"/>
      <c r="T34" s="16"/>
      <c r="U34" s="3"/>
    </row>
    <row r="35" spans="1:21" ht="18" customHeight="1">
      <c r="A35" s="14" t="s">
        <v>35</v>
      </c>
      <c r="B35" s="5" t="s">
        <v>26</v>
      </c>
      <c r="C35" s="5">
        <v>2011</v>
      </c>
      <c r="D35" s="5">
        <v>2013</v>
      </c>
      <c r="E35" s="7" t="s">
        <v>28</v>
      </c>
      <c r="F35" s="7" t="s">
        <v>29</v>
      </c>
      <c r="G35" s="8">
        <f t="shared" si="8"/>
        <v>2321000</v>
      </c>
      <c r="H35" s="3"/>
      <c r="I35" s="53">
        <f>300000+321000</f>
        <v>621000</v>
      </c>
      <c r="J35" s="61">
        <v>574471.5</v>
      </c>
      <c r="K35" s="29" t="s">
        <v>108</v>
      </c>
      <c r="L35" s="16">
        <v>300000</v>
      </c>
      <c r="M35" s="16">
        <v>1400000</v>
      </c>
      <c r="N35" s="16"/>
      <c r="O35" s="16"/>
      <c r="P35" s="16"/>
      <c r="Q35" s="16"/>
      <c r="R35" s="16"/>
      <c r="S35" s="16"/>
      <c r="T35" s="16"/>
      <c r="U35" s="3"/>
    </row>
    <row r="36" spans="1:21" ht="60">
      <c r="A36" s="10" t="s">
        <v>66</v>
      </c>
      <c r="B36" s="5" t="s">
        <v>26</v>
      </c>
      <c r="C36" s="5">
        <v>2011</v>
      </c>
      <c r="D36" s="5">
        <v>2020</v>
      </c>
      <c r="E36" s="7" t="s">
        <v>28</v>
      </c>
      <c r="F36" s="7" t="s">
        <v>29</v>
      </c>
      <c r="G36" s="8">
        <f t="shared" si="8"/>
        <v>140000</v>
      </c>
      <c r="H36" s="3"/>
      <c r="I36" s="53">
        <f>10000+40000</f>
        <v>50000</v>
      </c>
      <c r="J36" s="61">
        <v>6150</v>
      </c>
      <c r="K36" s="29" t="s">
        <v>89</v>
      </c>
      <c r="L36" s="16">
        <v>10000</v>
      </c>
      <c r="M36" s="16">
        <v>10000</v>
      </c>
      <c r="N36" s="16">
        <v>10000</v>
      </c>
      <c r="O36" s="16">
        <v>10000</v>
      </c>
      <c r="P36" s="16">
        <v>10000</v>
      </c>
      <c r="Q36" s="16">
        <v>10000</v>
      </c>
      <c r="R36" s="16">
        <v>10000</v>
      </c>
      <c r="S36" s="16">
        <v>10000</v>
      </c>
      <c r="T36" s="16">
        <v>10000</v>
      </c>
      <c r="U36" s="3"/>
    </row>
    <row r="37" spans="1:21" ht="24.75" customHeight="1">
      <c r="A37" s="10" t="s">
        <v>32</v>
      </c>
      <c r="B37" s="5" t="s">
        <v>26</v>
      </c>
      <c r="C37" s="5">
        <v>2011</v>
      </c>
      <c r="D37" s="5">
        <v>2020</v>
      </c>
      <c r="E37" s="7" t="s">
        <v>28</v>
      </c>
      <c r="F37" s="7" t="s">
        <v>29</v>
      </c>
      <c r="G37" s="8">
        <f t="shared" si="8"/>
        <v>1950000</v>
      </c>
      <c r="H37" s="3"/>
      <c r="I37" s="53">
        <f>100000+50000</f>
        <v>150000</v>
      </c>
      <c r="J37" s="61">
        <v>26199</v>
      </c>
      <c r="K37" s="29" t="s">
        <v>102</v>
      </c>
      <c r="L37" s="16">
        <v>50000</v>
      </c>
      <c r="M37" s="16">
        <v>100000</v>
      </c>
      <c r="N37" s="16">
        <v>100000</v>
      </c>
      <c r="O37" s="16">
        <v>100000</v>
      </c>
      <c r="P37" s="16">
        <v>100000</v>
      </c>
      <c r="Q37" s="16">
        <v>250000</v>
      </c>
      <c r="R37" s="16">
        <v>250000</v>
      </c>
      <c r="S37" s="16">
        <v>350000</v>
      </c>
      <c r="T37" s="16">
        <v>500000</v>
      </c>
      <c r="U37" s="3"/>
    </row>
    <row r="38" spans="1:21" ht="26.25">
      <c r="A38" s="4" t="s">
        <v>36</v>
      </c>
      <c r="B38" s="5" t="s">
        <v>26</v>
      </c>
      <c r="C38" s="5">
        <v>2011</v>
      </c>
      <c r="D38" s="5">
        <v>2020</v>
      </c>
      <c r="E38" s="36" t="s">
        <v>0</v>
      </c>
      <c r="F38" s="36"/>
      <c r="G38" s="8">
        <f>SUM(G39:G56)</f>
        <v>73247300</v>
      </c>
      <c r="H38" s="3"/>
      <c r="I38" s="51">
        <f>SUM(I39:I56)</f>
        <v>7976300</v>
      </c>
      <c r="J38" s="60">
        <f>SUM(J39:J56)</f>
        <v>2527627.41</v>
      </c>
      <c r="K38" s="26" t="s">
        <v>95</v>
      </c>
      <c r="L38" s="8">
        <f>SUM(L39:L56)</f>
        <v>4091000</v>
      </c>
      <c r="M38" s="8">
        <f aca="true" t="shared" si="9" ref="M38:T38">SUM(M39:M55)</f>
        <v>7520000</v>
      </c>
      <c r="N38" s="8">
        <f t="shared" si="9"/>
        <v>5560000</v>
      </c>
      <c r="O38" s="8">
        <f t="shared" si="9"/>
        <v>7900000</v>
      </c>
      <c r="P38" s="8">
        <f t="shared" si="9"/>
        <v>9650000</v>
      </c>
      <c r="Q38" s="8">
        <f t="shared" si="9"/>
        <v>7150000</v>
      </c>
      <c r="R38" s="8">
        <f t="shared" si="9"/>
        <v>9700000</v>
      </c>
      <c r="S38" s="8">
        <f t="shared" si="9"/>
        <v>8600000</v>
      </c>
      <c r="T38" s="8">
        <f t="shared" si="9"/>
        <v>5100000</v>
      </c>
      <c r="U38" s="3"/>
    </row>
    <row r="39" spans="1:21" ht="39" customHeight="1">
      <c r="A39" s="10" t="s">
        <v>37</v>
      </c>
      <c r="B39" s="5" t="s">
        <v>26</v>
      </c>
      <c r="C39" s="5">
        <v>2011</v>
      </c>
      <c r="D39" s="5">
        <v>2012</v>
      </c>
      <c r="E39" s="5">
        <v>600</v>
      </c>
      <c r="F39" s="5">
        <v>60016</v>
      </c>
      <c r="G39" s="8">
        <f t="shared" si="8"/>
        <v>600000</v>
      </c>
      <c r="H39" s="3"/>
      <c r="I39" s="53">
        <v>200000</v>
      </c>
      <c r="J39" s="61">
        <v>0</v>
      </c>
      <c r="K39" s="29" t="s">
        <v>106</v>
      </c>
      <c r="L39" s="16">
        <v>400000</v>
      </c>
      <c r="M39" s="16"/>
      <c r="N39" s="16"/>
      <c r="O39" s="16"/>
      <c r="P39" s="16"/>
      <c r="Q39" s="16"/>
      <c r="R39" s="16"/>
      <c r="S39" s="16"/>
      <c r="T39" s="16"/>
      <c r="U39" s="3"/>
    </row>
    <row r="40" spans="1:21" ht="36">
      <c r="A40" s="10" t="s">
        <v>74</v>
      </c>
      <c r="B40" s="5" t="s">
        <v>26</v>
      </c>
      <c r="C40" s="5">
        <v>2011</v>
      </c>
      <c r="D40" s="5">
        <v>2014</v>
      </c>
      <c r="E40" s="5">
        <v>600</v>
      </c>
      <c r="F40" s="5">
        <v>60016</v>
      </c>
      <c r="G40" s="8">
        <f t="shared" si="8"/>
        <v>600000</v>
      </c>
      <c r="H40" s="3"/>
      <c r="I40" s="53">
        <f>50000+50000</f>
        <v>100000</v>
      </c>
      <c r="J40" s="61">
        <v>39870.45</v>
      </c>
      <c r="K40" s="29" t="s">
        <v>90</v>
      </c>
      <c r="L40" s="16">
        <v>100000</v>
      </c>
      <c r="M40" s="16">
        <v>200000</v>
      </c>
      <c r="N40" s="16">
        <v>200000</v>
      </c>
      <c r="O40" s="16"/>
      <c r="P40" s="16"/>
      <c r="Q40" s="16"/>
      <c r="R40" s="16"/>
      <c r="S40" s="16"/>
      <c r="T40" s="16"/>
      <c r="U40" s="3"/>
    </row>
    <row r="41" spans="1:21" ht="60">
      <c r="A41" s="10" t="s">
        <v>76</v>
      </c>
      <c r="B41" s="5" t="s">
        <v>26</v>
      </c>
      <c r="C41" s="5">
        <v>2011</v>
      </c>
      <c r="D41" s="5">
        <v>2019</v>
      </c>
      <c r="E41" s="5">
        <v>600</v>
      </c>
      <c r="F41" s="5">
        <v>60016</v>
      </c>
      <c r="G41" s="8">
        <f t="shared" si="8"/>
        <v>13050000</v>
      </c>
      <c r="H41" s="3"/>
      <c r="I41" s="53">
        <f>750000+150000+650000</f>
        <v>1550000</v>
      </c>
      <c r="J41" s="61">
        <v>0</v>
      </c>
      <c r="K41" s="29" t="s">
        <v>106</v>
      </c>
      <c r="L41" s="16">
        <v>500000</v>
      </c>
      <c r="M41" s="16">
        <v>1000000</v>
      </c>
      <c r="N41" s="16">
        <v>1000000</v>
      </c>
      <c r="O41" s="16">
        <v>2000000</v>
      </c>
      <c r="P41" s="16">
        <v>2000000</v>
      </c>
      <c r="Q41" s="16">
        <v>2000000</v>
      </c>
      <c r="R41" s="16">
        <v>2000000</v>
      </c>
      <c r="S41" s="16">
        <v>1000000</v>
      </c>
      <c r="T41" s="16"/>
      <c r="U41" s="3"/>
    </row>
    <row r="42" spans="1:21" ht="48">
      <c r="A42" s="10" t="s">
        <v>75</v>
      </c>
      <c r="B42" s="5" t="s">
        <v>26</v>
      </c>
      <c r="C42" s="5">
        <v>2011</v>
      </c>
      <c r="D42" s="5">
        <v>2020</v>
      </c>
      <c r="E42" s="5">
        <v>600</v>
      </c>
      <c r="F42" s="5">
        <v>60016</v>
      </c>
      <c r="G42" s="8">
        <f t="shared" si="8"/>
        <v>19110000</v>
      </c>
      <c r="H42" s="3"/>
      <c r="I42" s="53">
        <f>1000000+489000</f>
        <v>1489000</v>
      </c>
      <c r="J42" s="61">
        <v>1057442.96</v>
      </c>
      <c r="K42" s="29" t="s">
        <v>91</v>
      </c>
      <c r="L42" s="16">
        <v>621000</v>
      </c>
      <c r="M42" s="16">
        <v>1000000</v>
      </c>
      <c r="N42" s="16">
        <v>1000000</v>
      </c>
      <c r="O42" s="16">
        <v>2000000</v>
      </c>
      <c r="P42" s="16">
        <v>3000000</v>
      </c>
      <c r="Q42" s="16">
        <v>3000000</v>
      </c>
      <c r="R42" s="16">
        <v>3000000</v>
      </c>
      <c r="S42" s="16">
        <v>3000000</v>
      </c>
      <c r="T42" s="16">
        <v>1000000</v>
      </c>
      <c r="U42" s="3"/>
    </row>
    <row r="43" spans="1:21" ht="38.25" customHeight="1">
      <c r="A43" s="10" t="s">
        <v>86</v>
      </c>
      <c r="B43" s="5" t="s">
        <v>26</v>
      </c>
      <c r="C43" s="5">
        <v>2011</v>
      </c>
      <c r="D43" s="5">
        <v>2013</v>
      </c>
      <c r="E43" s="5">
        <v>600</v>
      </c>
      <c r="F43" s="5">
        <v>60016</v>
      </c>
      <c r="G43" s="8">
        <f t="shared" si="8"/>
        <v>850000</v>
      </c>
      <c r="H43" s="3"/>
      <c r="I43" s="53">
        <v>250000</v>
      </c>
      <c r="J43" s="61">
        <v>178604.17</v>
      </c>
      <c r="K43" s="29" t="s">
        <v>92</v>
      </c>
      <c r="L43" s="16">
        <v>100000</v>
      </c>
      <c r="M43" s="16">
        <v>500000</v>
      </c>
      <c r="N43" s="16"/>
      <c r="O43" s="16"/>
      <c r="P43" s="16"/>
      <c r="Q43" s="16"/>
      <c r="R43" s="16"/>
      <c r="S43" s="16"/>
      <c r="T43" s="16"/>
      <c r="U43" s="3"/>
    </row>
    <row r="44" spans="1:21" ht="36">
      <c r="A44" s="10" t="s">
        <v>38</v>
      </c>
      <c r="B44" s="5" t="s">
        <v>26</v>
      </c>
      <c r="C44" s="5">
        <v>2011</v>
      </c>
      <c r="D44" s="5">
        <v>2013</v>
      </c>
      <c r="E44" s="5">
        <v>600</v>
      </c>
      <c r="F44" s="5">
        <v>60016</v>
      </c>
      <c r="G44" s="8">
        <f t="shared" si="8"/>
        <v>1200000</v>
      </c>
      <c r="H44" s="3"/>
      <c r="I44" s="53">
        <v>200000</v>
      </c>
      <c r="J44" s="61">
        <v>171.35</v>
      </c>
      <c r="K44" s="29" t="s">
        <v>93</v>
      </c>
      <c r="L44" s="16">
        <v>500000</v>
      </c>
      <c r="M44" s="16">
        <v>500000</v>
      </c>
      <c r="N44" s="16"/>
      <c r="O44" s="16"/>
      <c r="P44" s="16"/>
      <c r="Q44" s="16"/>
      <c r="R44" s="16"/>
      <c r="S44" s="16"/>
      <c r="T44" s="16"/>
      <c r="U44" s="3"/>
    </row>
    <row r="45" spans="1:21" ht="25.5">
      <c r="A45" s="10" t="s">
        <v>77</v>
      </c>
      <c r="B45" s="5" t="s">
        <v>26</v>
      </c>
      <c r="C45" s="5">
        <v>2011</v>
      </c>
      <c r="D45" s="5">
        <v>2014</v>
      </c>
      <c r="E45" s="5">
        <v>600</v>
      </c>
      <c r="F45" s="5">
        <v>60016</v>
      </c>
      <c r="G45" s="8">
        <f t="shared" si="8"/>
        <v>900000</v>
      </c>
      <c r="H45" s="3"/>
      <c r="I45" s="53">
        <v>450000</v>
      </c>
      <c r="J45" s="61">
        <v>319693.49</v>
      </c>
      <c r="K45" s="29" t="s">
        <v>108</v>
      </c>
      <c r="L45" s="16">
        <v>50000</v>
      </c>
      <c r="M45" s="16">
        <v>100000</v>
      </c>
      <c r="N45" s="16">
        <v>300000</v>
      </c>
      <c r="O45" s="16"/>
      <c r="P45" s="16"/>
      <c r="Q45" s="16"/>
      <c r="R45" s="16"/>
      <c r="S45" s="16"/>
      <c r="T45" s="16"/>
      <c r="U45" s="3"/>
    </row>
    <row r="46" spans="1:21" ht="25.5">
      <c r="A46" s="14" t="s">
        <v>39</v>
      </c>
      <c r="B46" s="5" t="s">
        <v>26</v>
      </c>
      <c r="C46" s="5">
        <v>2011</v>
      </c>
      <c r="D46" s="5">
        <v>2020</v>
      </c>
      <c r="E46" s="5">
        <v>600</v>
      </c>
      <c r="F46" s="5">
        <v>60016</v>
      </c>
      <c r="G46" s="8">
        <f t="shared" si="8"/>
        <v>7840000</v>
      </c>
      <c r="H46" s="3"/>
      <c r="I46" s="53">
        <v>10000</v>
      </c>
      <c r="J46" s="61">
        <v>0</v>
      </c>
      <c r="K46" s="29" t="s">
        <v>105</v>
      </c>
      <c r="L46" s="16">
        <v>10000</v>
      </c>
      <c r="M46" s="16">
        <v>10000</v>
      </c>
      <c r="N46" s="16">
        <v>10000</v>
      </c>
      <c r="O46" s="16">
        <v>300000</v>
      </c>
      <c r="P46" s="16">
        <v>500000</v>
      </c>
      <c r="Q46" s="16">
        <f>1000000-500000</f>
        <v>500000</v>
      </c>
      <c r="R46" s="16">
        <v>2000000</v>
      </c>
      <c r="S46" s="16">
        <v>2000000</v>
      </c>
      <c r="T46" s="16">
        <v>2500000</v>
      </c>
      <c r="U46" s="3"/>
    </row>
    <row r="47" spans="1:21" ht="38.25" customHeight="1">
      <c r="A47" s="14" t="s">
        <v>78</v>
      </c>
      <c r="B47" s="5" t="s">
        <v>26</v>
      </c>
      <c r="C47" s="5">
        <v>2011</v>
      </c>
      <c r="D47" s="5">
        <v>2020</v>
      </c>
      <c r="E47" s="5">
        <v>600</v>
      </c>
      <c r="F47" s="5">
        <v>60016</v>
      </c>
      <c r="G47" s="8">
        <f t="shared" si="8"/>
        <v>7860000</v>
      </c>
      <c r="H47" s="3"/>
      <c r="I47" s="53">
        <f>200000+60000</f>
        <v>260000</v>
      </c>
      <c r="J47" s="61">
        <v>0</v>
      </c>
      <c r="K47" s="29" t="s">
        <v>110</v>
      </c>
      <c r="L47" s="16">
        <v>200000</v>
      </c>
      <c r="M47" s="16">
        <v>500000</v>
      </c>
      <c r="N47" s="16">
        <v>400000</v>
      </c>
      <c r="O47" s="16">
        <v>500000</v>
      </c>
      <c r="P47" s="16">
        <v>500000</v>
      </c>
      <c r="Q47" s="16">
        <f>1000000-500000</f>
        <v>500000</v>
      </c>
      <c r="R47" s="16">
        <v>2000000</v>
      </c>
      <c r="S47" s="16">
        <v>2000000</v>
      </c>
      <c r="T47" s="16">
        <v>1000000</v>
      </c>
      <c r="U47" s="3"/>
    </row>
    <row r="48" spans="1:21" ht="72">
      <c r="A48" s="14" t="s">
        <v>79</v>
      </c>
      <c r="B48" s="5" t="s">
        <v>26</v>
      </c>
      <c r="C48" s="5">
        <v>2011</v>
      </c>
      <c r="D48" s="5">
        <v>2016</v>
      </c>
      <c r="E48" s="5">
        <v>600</v>
      </c>
      <c r="F48" s="5">
        <v>60016</v>
      </c>
      <c r="G48" s="8">
        <f t="shared" si="8"/>
        <v>6642300</v>
      </c>
      <c r="H48" s="3"/>
      <c r="I48" s="53">
        <f>2000000-10000-10000-80000+58300+184000</f>
        <v>2142300</v>
      </c>
      <c r="J48" s="61">
        <v>931844.99</v>
      </c>
      <c r="K48" s="29" t="s">
        <v>94</v>
      </c>
      <c r="L48" s="16">
        <v>500000</v>
      </c>
      <c r="M48" s="16">
        <v>1000000</v>
      </c>
      <c r="N48" s="16">
        <v>1000000</v>
      </c>
      <c r="O48" s="16">
        <v>1000000</v>
      </c>
      <c r="P48" s="16">
        <v>1000000</v>
      </c>
      <c r="Q48" s="16"/>
      <c r="R48" s="16"/>
      <c r="S48" s="16"/>
      <c r="T48" s="16"/>
      <c r="U48" s="3"/>
    </row>
    <row r="49" spans="1:21" ht="25.5">
      <c r="A49" s="14" t="s">
        <v>40</v>
      </c>
      <c r="B49" s="5" t="s">
        <v>26</v>
      </c>
      <c r="C49" s="5">
        <v>2011</v>
      </c>
      <c r="D49" s="5">
        <v>2017</v>
      </c>
      <c r="E49" s="5">
        <v>600</v>
      </c>
      <c r="F49" s="5">
        <v>60016</v>
      </c>
      <c r="G49" s="8">
        <f t="shared" si="8"/>
        <v>230000</v>
      </c>
      <c r="H49" s="3"/>
      <c r="I49" s="53">
        <f>10000</f>
        <v>10000</v>
      </c>
      <c r="J49" s="61">
        <v>0</v>
      </c>
      <c r="K49" s="29" t="s">
        <v>111</v>
      </c>
      <c r="L49" s="16">
        <f>10000</f>
        <v>10000</v>
      </c>
      <c r="M49" s="16">
        <f>20000-10000</f>
        <v>10000</v>
      </c>
      <c r="N49" s="16">
        <v>50000</v>
      </c>
      <c r="O49" s="16">
        <v>50000</v>
      </c>
      <c r="P49" s="16">
        <v>50000</v>
      </c>
      <c r="Q49" s="16">
        <v>50000</v>
      </c>
      <c r="R49" s="16"/>
      <c r="S49" s="16"/>
      <c r="T49" s="16"/>
      <c r="U49" s="3"/>
    </row>
    <row r="50" spans="1:21" ht="36">
      <c r="A50" s="14" t="s">
        <v>87</v>
      </c>
      <c r="B50" s="5" t="s">
        <v>26</v>
      </c>
      <c r="C50" s="5">
        <v>2011</v>
      </c>
      <c r="D50" s="5">
        <v>2015</v>
      </c>
      <c r="E50" s="5">
        <v>600</v>
      </c>
      <c r="F50" s="5">
        <v>60016</v>
      </c>
      <c r="G50" s="8">
        <f t="shared" si="8"/>
        <v>2075000</v>
      </c>
      <c r="H50" s="3"/>
      <c r="I50" s="53">
        <f>100000-25000</f>
        <v>75000</v>
      </c>
      <c r="J50" s="61">
        <v>0</v>
      </c>
      <c r="K50" s="29" t="s">
        <v>110</v>
      </c>
      <c r="L50" s="16">
        <v>500000</v>
      </c>
      <c r="M50" s="16">
        <v>500000</v>
      </c>
      <c r="N50" s="16">
        <v>500000</v>
      </c>
      <c r="O50" s="16">
        <v>500000</v>
      </c>
      <c r="P50" s="16"/>
      <c r="Q50" s="16"/>
      <c r="R50" s="16"/>
      <c r="S50" s="16"/>
      <c r="T50" s="16"/>
      <c r="U50" s="3"/>
    </row>
    <row r="51" spans="1:21" ht="25.5" customHeight="1">
      <c r="A51" s="10" t="s">
        <v>80</v>
      </c>
      <c r="B51" s="5" t="s">
        <v>26</v>
      </c>
      <c r="C51" s="5">
        <v>2011</v>
      </c>
      <c r="D51" s="5">
        <v>2013</v>
      </c>
      <c r="E51" s="5">
        <v>600</v>
      </c>
      <c r="F51" s="5">
        <v>60016</v>
      </c>
      <c r="G51" s="8">
        <f t="shared" si="8"/>
        <v>800000</v>
      </c>
      <c r="H51" s="3"/>
      <c r="I51" s="53">
        <f>40000+10000</f>
        <v>50000</v>
      </c>
      <c r="J51" s="61">
        <v>0</v>
      </c>
      <c r="K51" s="29" t="s">
        <v>110</v>
      </c>
      <c r="L51" s="16">
        <v>50000</v>
      </c>
      <c r="M51" s="16">
        <v>700000</v>
      </c>
      <c r="N51" s="16"/>
      <c r="O51" s="16"/>
      <c r="P51" s="16"/>
      <c r="Q51" s="16"/>
      <c r="R51" s="16"/>
      <c r="S51" s="16"/>
      <c r="T51" s="16"/>
      <c r="U51" s="3"/>
    </row>
    <row r="52" spans="1:21" ht="27.75" customHeight="1">
      <c r="A52" s="10" t="s">
        <v>81</v>
      </c>
      <c r="B52" s="5" t="s">
        <v>26</v>
      </c>
      <c r="C52" s="5">
        <v>2011</v>
      </c>
      <c r="D52" s="5">
        <v>2016</v>
      </c>
      <c r="E52" s="5">
        <v>600</v>
      </c>
      <c r="F52" s="5">
        <v>60016</v>
      </c>
      <c r="G52" s="8">
        <f t="shared" si="8"/>
        <v>2105000</v>
      </c>
      <c r="H52" s="3"/>
      <c r="I52" s="53">
        <f>45000+10000</f>
        <v>55000</v>
      </c>
      <c r="J52" s="61">
        <v>0</v>
      </c>
      <c r="K52" s="29" t="s">
        <v>110</v>
      </c>
      <c r="L52" s="16">
        <v>50000</v>
      </c>
      <c r="M52" s="16">
        <v>500000</v>
      </c>
      <c r="N52" s="16">
        <v>500000</v>
      </c>
      <c r="O52" s="16">
        <v>500000</v>
      </c>
      <c r="P52" s="16">
        <v>500000</v>
      </c>
      <c r="Q52" s="16"/>
      <c r="R52" s="16"/>
      <c r="S52" s="16"/>
      <c r="T52" s="16"/>
      <c r="U52" s="3"/>
    </row>
    <row r="53" spans="1:21" ht="72">
      <c r="A53" s="14" t="s">
        <v>88</v>
      </c>
      <c r="B53" s="5" t="s">
        <v>26</v>
      </c>
      <c r="C53" s="5">
        <v>2011</v>
      </c>
      <c r="D53" s="5">
        <v>2018</v>
      </c>
      <c r="E53" s="5">
        <v>600</v>
      </c>
      <c r="F53" s="5">
        <v>60016</v>
      </c>
      <c r="G53" s="8">
        <f t="shared" si="8"/>
        <v>2875000</v>
      </c>
      <c r="H53" s="3"/>
      <c r="I53" s="53">
        <f>50000+150000+25000</f>
        <v>225000</v>
      </c>
      <c r="J53" s="61">
        <v>0</v>
      </c>
      <c r="K53" s="29" t="s">
        <v>105</v>
      </c>
      <c r="L53" s="16">
        <v>100000</v>
      </c>
      <c r="M53" s="16">
        <v>500000</v>
      </c>
      <c r="N53" s="16">
        <v>100000</v>
      </c>
      <c r="O53" s="16">
        <v>450000</v>
      </c>
      <c r="P53" s="16">
        <v>500000</v>
      </c>
      <c r="Q53" s="16">
        <v>500000</v>
      </c>
      <c r="R53" s="16">
        <v>500000</v>
      </c>
      <c r="S53" s="16"/>
      <c r="T53" s="16"/>
      <c r="U53" s="3"/>
    </row>
    <row r="54" spans="1:21" ht="36">
      <c r="A54" s="11" t="s">
        <v>82</v>
      </c>
      <c r="B54" s="5" t="s">
        <v>26</v>
      </c>
      <c r="C54" s="5">
        <v>2011</v>
      </c>
      <c r="D54" s="5">
        <v>2017</v>
      </c>
      <c r="E54" s="5">
        <v>600</v>
      </c>
      <c r="F54" s="5">
        <v>60016</v>
      </c>
      <c r="G54" s="8">
        <f t="shared" si="8"/>
        <v>3600000</v>
      </c>
      <c r="H54" s="3"/>
      <c r="I54" s="53">
        <v>150000</v>
      </c>
      <c r="J54" s="61">
        <v>0</v>
      </c>
      <c r="K54" s="29" t="s">
        <v>106</v>
      </c>
      <c r="L54" s="16">
        <v>150000</v>
      </c>
      <c r="M54" s="16">
        <v>400000</v>
      </c>
      <c r="N54" s="16">
        <v>400000</v>
      </c>
      <c r="O54" s="16">
        <v>500000</v>
      </c>
      <c r="P54" s="16">
        <v>1500000</v>
      </c>
      <c r="Q54" s="16">
        <v>500000</v>
      </c>
      <c r="R54" s="16"/>
      <c r="S54" s="16"/>
      <c r="T54" s="16"/>
      <c r="U54" s="3"/>
    </row>
    <row r="55" spans="1:21" ht="23.25" customHeight="1">
      <c r="A55" s="10" t="s">
        <v>41</v>
      </c>
      <c r="B55" s="5" t="s">
        <v>26</v>
      </c>
      <c r="C55" s="5">
        <v>2011</v>
      </c>
      <c r="D55" s="5">
        <v>2020</v>
      </c>
      <c r="E55" s="5">
        <v>600</v>
      </c>
      <c r="F55" s="5">
        <v>60016</v>
      </c>
      <c r="G55" s="8">
        <f t="shared" si="8"/>
        <v>2200000</v>
      </c>
      <c r="H55" s="3"/>
      <c r="I55" s="53">
        <f>50000+200000</f>
        <v>250000</v>
      </c>
      <c r="J55" s="61">
        <v>0</v>
      </c>
      <c r="K55" s="29" t="s">
        <v>105</v>
      </c>
      <c r="L55" s="16">
        <v>50000</v>
      </c>
      <c r="M55" s="16">
        <v>100000</v>
      </c>
      <c r="N55" s="16">
        <v>100000</v>
      </c>
      <c r="O55" s="16">
        <v>100000</v>
      </c>
      <c r="P55" s="16">
        <v>100000</v>
      </c>
      <c r="Q55" s="16">
        <v>100000</v>
      </c>
      <c r="R55" s="16">
        <v>200000</v>
      </c>
      <c r="S55" s="16">
        <v>600000</v>
      </c>
      <c r="T55" s="16">
        <v>600000</v>
      </c>
      <c r="U55" s="3"/>
    </row>
    <row r="56" spans="1:21" ht="46.5" customHeight="1">
      <c r="A56" s="14" t="s">
        <v>84</v>
      </c>
      <c r="B56" s="5" t="s">
        <v>26</v>
      </c>
      <c r="C56" s="5">
        <v>2011</v>
      </c>
      <c r="D56" s="5">
        <v>2012</v>
      </c>
      <c r="E56" s="5">
        <v>600</v>
      </c>
      <c r="F56" s="5">
        <v>60014</v>
      </c>
      <c r="G56" s="8">
        <f t="shared" si="8"/>
        <v>710000</v>
      </c>
      <c r="H56" s="3"/>
      <c r="I56" s="53">
        <f>10000+500000</f>
        <v>510000</v>
      </c>
      <c r="J56" s="61">
        <v>0</v>
      </c>
      <c r="K56" s="29" t="s">
        <v>112</v>
      </c>
      <c r="L56" s="16">
        <v>200000</v>
      </c>
      <c r="M56" s="16"/>
      <c r="N56" s="16"/>
      <c r="O56" s="16"/>
      <c r="P56" s="16"/>
      <c r="Q56" s="16"/>
      <c r="R56" s="16"/>
      <c r="S56" s="16"/>
      <c r="T56" s="16"/>
      <c r="U56" s="3"/>
    </row>
    <row r="57" spans="1:21" ht="54" customHeight="1">
      <c r="A57" s="4" t="s">
        <v>42</v>
      </c>
      <c r="B57" s="5" t="s">
        <v>26</v>
      </c>
      <c r="C57" s="5">
        <v>2011</v>
      </c>
      <c r="D57" s="5">
        <v>2020</v>
      </c>
      <c r="E57" s="36" t="s">
        <v>0</v>
      </c>
      <c r="F57" s="36"/>
      <c r="G57" s="8">
        <f>SUM(G58:G62)</f>
        <v>20568748</v>
      </c>
      <c r="H57" s="3"/>
      <c r="I57" s="51">
        <f>SUM(I58:I62)</f>
        <v>1999748</v>
      </c>
      <c r="J57" s="60">
        <f>SUM(J58:J62)</f>
        <v>1179295.9</v>
      </c>
      <c r="K57" s="26" t="s">
        <v>95</v>
      </c>
      <c r="L57" s="8">
        <f aca="true" t="shared" si="10" ref="L57:T57">SUM(L58:L62)</f>
        <v>1032000</v>
      </c>
      <c r="M57" s="8">
        <f t="shared" si="10"/>
        <v>1834000</v>
      </c>
      <c r="N57" s="8">
        <f t="shared" si="10"/>
        <v>752000</v>
      </c>
      <c r="O57" s="8">
        <f t="shared" si="10"/>
        <v>851000</v>
      </c>
      <c r="P57" s="8">
        <f t="shared" si="10"/>
        <v>1400000</v>
      </c>
      <c r="Q57" s="8">
        <f t="shared" si="10"/>
        <v>4300000</v>
      </c>
      <c r="R57" s="8">
        <f t="shared" si="10"/>
        <v>2800000</v>
      </c>
      <c r="S57" s="8">
        <f t="shared" si="10"/>
        <v>1600000</v>
      </c>
      <c r="T57" s="8">
        <f t="shared" si="10"/>
        <v>4000000</v>
      </c>
      <c r="U57" s="3"/>
    </row>
    <row r="58" spans="1:21" ht="25.5">
      <c r="A58" s="14" t="s">
        <v>45</v>
      </c>
      <c r="B58" s="5" t="s">
        <v>26</v>
      </c>
      <c r="C58" s="5">
        <v>2011</v>
      </c>
      <c r="D58" s="5">
        <v>2013</v>
      </c>
      <c r="E58" s="5">
        <v>600</v>
      </c>
      <c r="F58" s="5">
        <v>60095</v>
      </c>
      <c r="G58" s="8">
        <f t="shared" si="8"/>
        <v>3003000</v>
      </c>
      <c r="H58" s="3"/>
      <c r="I58" s="53">
        <f>700000+474446</f>
        <v>1174446</v>
      </c>
      <c r="J58" s="61">
        <v>1019931.4</v>
      </c>
      <c r="K58" s="29" t="s">
        <v>108</v>
      </c>
      <c r="L58" s="16">
        <v>800000</v>
      </c>
      <c r="M58" s="16">
        <f>1282000-253446</f>
        <v>1028554</v>
      </c>
      <c r="N58" s="16"/>
      <c r="O58" s="16"/>
      <c r="P58" s="16"/>
      <c r="Q58" s="16"/>
      <c r="R58" s="16"/>
      <c r="S58" s="16"/>
      <c r="T58" s="16"/>
      <c r="U58" s="3"/>
    </row>
    <row r="59" spans="1:21" ht="48">
      <c r="A59" s="14" t="s">
        <v>46</v>
      </c>
      <c r="B59" s="5" t="s">
        <v>26</v>
      </c>
      <c r="C59" s="5">
        <v>2011</v>
      </c>
      <c r="D59" s="5">
        <v>2017</v>
      </c>
      <c r="E59" s="5">
        <v>600</v>
      </c>
      <c r="F59" s="5">
        <v>60095</v>
      </c>
      <c r="G59" s="8">
        <f t="shared" si="8"/>
        <v>4380000</v>
      </c>
      <c r="H59" s="3"/>
      <c r="I59" s="53">
        <f>200000-10000+310000</f>
        <v>500000</v>
      </c>
      <c r="J59" s="61">
        <v>0</v>
      </c>
      <c r="K59" s="29" t="s">
        <v>105</v>
      </c>
      <c r="L59" s="16">
        <f>200000-20000</f>
        <v>180000</v>
      </c>
      <c r="M59" s="16">
        <v>400000</v>
      </c>
      <c r="N59" s="16">
        <v>600000</v>
      </c>
      <c r="O59" s="16">
        <v>600000</v>
      </c>
      <c r="P59" s="16">
        <v>600000</v>
      </c>
      <c r="Q59" s="16">
        <v>1500000</v>
      </c>
      <c r="R59" s="16"/>
      <c r="S59" s="16"/>
      <c r="T59" s="16"/>
      <c r="U59" s="3"/>
    </row>
    <row r="60" spans="1:21" ht="98.25" customHeight="1">
      <c r="A60" s="14" t="s">
        <v>47</v>
      </c>
      <c r="B60" s="5" t="s">
        <v>26</v>
      </c>
      <c r="C60" s="5">
        <v>2011</v>
      </c>
      <c r="D60" s="5">
        <v>2020</v>
      </c>
      <c r="E60" s="5">
        <v>600</v>
      </c>
      <c r="F60" s="5">
        <v>60095</v>
      </c>
      <c r="G60" s="8">
        <f t="shared" si="8"/>
        <v>3476748</v>
      </c>
      <c r="H60" s="3"/>
      <c r="I60" s="53">
        <f>152302+100000+181000-110000</f>
        <v>323302</v>
      </c>
      <c r="J60" s="61">
        <v>159364.5</v>
      </c>
      <c r="K60" s="29" t="s">
        <v>103</v>
      </c>
      <c r="L60" s="16">
        <v>50000</v>
      </c>
      <c r="M60" s="16">
        <f>150000+253446</f>
        <v>403446</v>
      </c>
      <c r="N60" s="16">
        <v>150000</v>
      </c>
      <c r="O60" s="16">
        <v>150000</v>
      </c>
      <c r="P60" s="16">
        <v>200000</v>
      </c>
      <c r="Q60" s="16">
        <v>300000</v>
      </c>
      <c r="R60" s="16">
        <v>300000</v>
      </c>
      <c r="S60" s="16">
        <v>600000</v>
      </c>
      <c r="T60" s="16">
        <v>1000000</v>
      </c>
      <c r="U60" s="3"/>
    </row>
    <row r="61" spans="1:21" ht="25.5">
      <c r="A61" s="14" t="s">
        <v>43</v>
      </c>
      <c r="B61" s="5" t="s">
        <v>26</v>
      </c>
      <c r="C61" s="5">
        <v>2011</v>
      </c>
      <c r="D61" s="5">
        <v>2018</v>
      </c>
      <c r="E61" s="5">
        <v>600</v>
      </c>
      <c r="F61" s="5">
        <v>60095</v>
      </c>
      <c r="G61" s="8">
        <f t="shared" si="8"/>
        <v>4604000</v>
      </c>
      <c r="H61" s="3"/>
      <c r="I61" s="53">
        <v>1000</v>
      </c>
      <c r="J61" s="61">
        <v>0</v>
      </c>
      <c r="K61" s="29" t="s">
        <v>105</v>
      </c>
      <c r="L61" s="16">
        <v>1000</v>
      </c>
      <c r="M61" s="16">
        <v>1000</v>
      </c>
      <c r="N61" s="16">
        <v>1000</v>
      </c>
      <c r="O61" s="16">
        <v>100000</v>
      </c>
      <c r="P61" s="16">
        <v>500000</v>
      </c>
      <c r="Q61" s="16">
        <v>2000000</v>
      </c>
      <c r="R61" s="16">
        <f>2000000</f>
        <v>2000000</v>
      </c>
      <c r="S61" s="16"/>
      <c r="T61" s="16"/>
      <c r="U61" s="3"/>
    </row>
    <row r="62" spans="1:21" ht="66" customHeight="1">
      <c r="A62" s="10" t="s">
        <v>44</v>
      </c>
      <c r="B62" s="5" t="s">
        <v>26</v>
      </c>
      <c r="C62" s="5">
        <v>2011</v>
      </c>
      <c r="D62" s="5">
        <v>2020</v>
      </c>
      <c r="E62" s="5">
        <v>600</v>
      </c>
      <c r="F62" s="5">
        <v>60095</v>
      </c>
      <c r="G62" s="8">
        <f t="shared" si="8"/>
        <v>5105000</v>
      </c>
      <c r="H62" s="3"/>
      <c r="I62" s="53">
        <v>1000</v>
      </c>
      <c r="J62" s="61">
        <v>0</v>
      </c>
      <c r="K62" s="29" t="s">
        <v>113</v>
      </c>
      <c r="L62" s="16">
        <v>1000</v>
      </c>
      <c r="M62" s="16">
        <v>1000</v>
      </c>
      <c r="N62" s="16">
        <v>1000</v>
      </c>
      <c r="O62" s="16">
        <v>1000</v>
      </c>
      <c r="P62" s="16">
        <v>100000</v>
      </c>
      <c r="Q62" s="16">
        <v>500000</v>
      </c>
      <c r="R62" s="16">
        <v>500000</v>
      </c>
      <c r="S62" s="16">
        <v>1000000</v>
      </c>
      <c r="T62" s="16">
        <v>3000000</v>
      </c>
      <c r="U62" s="3"/>
    </row>
    <row r="63" spans="1:21" ht="51">
      <c r="A63" s="4" t="s">
        <v>48</v>
      </c>
      <c r="B63" s="5" t="s">
        <v>26</v>
      </c>
      <c r="C63" s="5">
        <v>2011</v>
      </c>
      <c r="D63" s="5">
        <v>2020</v>
      </c>
      <c r="E63" s="36" t="s">
        <v>0</v>
      </c>
      <c r="F63" s="36"/>
      <c r="G63" s="8">
        <f>SUM(G64:G76)</f>
        <v>59789464</v>
      </c>
      <c r="H63" s="3"/>
      <c r="I63" s="51">
        <f>SUM(I64:I76)</f>
        <v>10605228</v>
      </c>
      <c r="J63" s="60">
        <f>SUM(J64:J76)</f>
        <v>1122262.8</v>
      </c>
      <c r="K63" s="26" t="s">
        <v>95</v>
      </c>
      <c r="L63" s="8">
        <f aca="true" t="shared" si="11" ref="L63:T63">SUM(L64:L76)</f>
        <v>10963000</v>
      </c>
      <c r="M63" s="8">
        <f t="shared" si="11"/>
        <v>2720977</v>
      </c>
      <c r="N63" s="8">
        <f t="shared" si="11"/>
        <v>9387719</v>
      </c>
      <c r="O63" s="8">
        <f t="shared" si="11"/>
        <v>2832592</v>
      </c>
      <c r="P63" s="8">
        <f t="shared" si="11"/>
        <v>1590000</v>
      </c>
      <c r="Q63" s="8">
        <f t="shared" si="11"/>
        <v>2370140</v>
      </c>
      <c r="R63" s="8">
        <f t="shared" si="11"/>
        <v>3938109</v>
      </c>
      <c r="S63" s="8">
        <f t="shared" si="11"/>
        <v>6390000</v>
      </c>
      <c r="T63" s="8">
        <f t="shared" si="11"/>
        <v>8991699</v>
      </c>
      <c r="U63" s="3"/>
    </row>
    <row r="64" spans="1:21" ht="18.75" customHeight="1">
      <c r="A64" s="23" t="s">
        <v>51</v>
      </c>
      <c r="B64" s="5" t="s">
        <v>26</v>
      </c>
      <c r="C64" s="5">
        <v>2011</v>
      </c>
      <c r="D64" s="5">
        <v>2020</v>
      </c>
      <c r="E64" s="5">
        <v>700</v>
      </c>
      <c r="F64" s="5">
        <v>70004</v>
      </c>
      <c r="G64" s="8">
        <f t="shared" si="8"/>
        <v>3300000</v>
      </c>
      <c r="H64" s="3"/>
      <c r="I64" s="53">
        <v>100000</v>
      </c>
      <c r="J64" s="61">
        <v>984</v>
      </c>
      <c r="K64" s="29" t="s">
        <v>97</v>
      </c>
      <c r="L64" s="24">
        <v>100000</v>
      </c>
      <c r="M64" s="24">
        <f>50000+50000</f>
        <v>100000</v>
      </c>
      <c r="N64" s="24">
        <f>50000+50000</f>
        <v>100000</v>
      </c>
      <c r="O64" s="16">
        <v>100000</v>
      </c>
      <c r="P64" s="16">
        <v>100000</v>
      </c>
      <c r="Q64" s="16">
        <v>200000</v>
      </c>
      <c r="R64" s="16">
        <v>500000</v>
      </c>
      <c r="S64" s="16">
        <v>1000000</v>
      </c>
      <c r="T64" s="16">
        <v>1000000</v>
      </c>
      <c r="U64" s="3"/>
    </row>
    <row r="65" spans="1:21" ht="27.75" customHeight="1">
      <c r="A65" s="10" t="s">
        <v>52</v>
      </c>
      <c r="B65" s="5" t="s">
        <v>26</v>
      </c>
      <c r="C65" s="5">
        <v>2011</v>
      </c>
      <c r="D65" s="5">
        <v>2020</v>
      </c>
      <c r="E65" s="5">
        <v>700</v>
      </c>
      <c r="F65" s="5">
        <v>70005</v>
      </c>
      <c r="G65" s="8">
        <f t="shared" si="8"/>
        <v>2650000</v>
      </c>
      <c r="H65" s="3"/>
      <c r="I65" s="53">
        <f>100000+350000</f>
        <v>450000</v>
      </c>
      <c r="J65" s="61">
        <v>0</v>
      </c>
      <c r="K65" s="29" t="s">
        <v>107</v>
      </c>
      <c r="L65" s="16">
        <v>100000</v>
      </c>
      <c r="M65" s="16">
        <v>200000</v>
      </c>
      <c r="N65" s="16">
        <v>200000</v>
      </c>
      <c r="O65" s="16">
        <v>200000</v>
      </c>
      <c r="P65" s="16">
        <v>300000</v>
      </c>
      <c r="Q65" s="16">
        <v>300000</v>
      </c>
      <c r="R65" s="16">
        <v>300000</v>
      </c>
      <c r="S65" s="16">
        <v>300000</v>
      </c>
      <c r="T65" s="16">
        <v>300000</v>
      </c>
      <c r="U65" s="3"/>
    </row>
    <row r="66" spans="1:21" ht="36">
      <c r="A66" s="14" t="s">
        <v>53</v>
      </c>
      <c r="B66" s="5" t="s">
        <v>26</v>
      </c>
      <c r="C66" s="5">
        <v>2011</v>
      </c>
      <c r="D66" s="5">
        <v>2020</v>
      </c>
      <c r="E66" s="5">
        <v>750</v>
      </c>
      <c r="F66" s="5">
        <v>75023</v>
      </c>
      <c r="G66" s="8">
        <f t="shared" si="8"/>
        <v>773399</v>
      </c>
      <c r="H66" s="3"/>
      <c r="I66" s="54">
        <f>100000+274+1000-1000-9000</f>
        <v>91274</v>
      </c>
      <c r="J66" s="61">
        <v>0</v>
      </c>
      <c r="K66" s="29" t="s">
        <v>114</v>
      </c>
      <c r="L66" s="21">
        <f>200000-8875+1000-10000-70000-1000-9000</f>
        <v>102125</v>
      </c>
      <c r="M66" s="21">
        <f>200000-10000</f>
        <v>190000</v>
      </c>
      <c r="N66" s="20">
        <f>100000-10000</f>
        <v>90000</v>
      </c>
      <c r="O66" s="18">
        <v>50000</v>
      </c>
      <c r="P66" s="18">
        <v>50000</v>
      </c>
      <c r="Q66" s="18">
        <v>50000</v>
      </c>
      <c r="R66" s="18">
        <v>50000</v>
      </c>
      <c r="S66" s="18">
        <v>50000</v>
      </c>
      <c r="T66" s="18">
        <v>50000</v>
      </c>
      <c r="U66" s="3"/>
    </row>
    <row r="67" spans="1:21" ht="60">
      <c r="A67" s="14" t="s">
        <v>70</v>
      </c>
      <c r="B67" s="5" t="s">
        <v>26</v>
      </c>
      <c r="C67" s="5">
        <v>2011</v>
      </c>
      <c r="D67" s="5">
        <v>2012</v>
      </c>
      <c r="E67" s="5">
        <v>750</v>
      </c>
      <c r="F67" s="5">
        <v>75023</v>
      </c>
      <c r="G67" s="8">
        <f t="shared" si="8"/>
        <v>16420000</v>
      </c>
      <c r="H67" s="3"/>
      <c r="I67" s="55">
        <f>8000000+520000</f>
        <v>8520000</v>
      </c>
      <c r="J67" s="61">
        <v>584517.54</v>
      </c>
      <c r="K67" s="29" t="s">
        <v>96</v>
      </c>
      <c r="L67" s="18">
        <v>7900000</v>
      </c>
      <c r="M67" s="18"/>
      <c r="N67" s="18"/>
      <c r="O67" s="18"/>
      <c r="P67" s="18"/>
      <c r="Q67" s="18"/>
      <c r="R67" s="18"/>
      <c r="S67" s="18"/>
      <c r="T67" s="18"/>
      <c r="U67" s="3"/>
    </row>
    <row r="68" spans="1:21" ht="39" customHeight="1">
      <c r="A68" s="14" t="s">
        <v>49</v>
      </c>
      <c r="B68" s="5" t="s">
        <v>26</v>
      </c>
      <c r="C68" s="5">
        <v>2011</v>
      </c>
      <c r="D68" s="5">
        <v>2012</v>
      </c>
      <c r="E68" s="5">
        <v>750</v>
      </c>
      <c r="F68" s="5">
        <v>75095</v>
      </c>
      <c r="G68" s="8">
        <f t="shared" si="8"/>
        <v>19829</v>
      </c>
      <c r="H68" s="3"/>
      <c r="I68" s="55">
        <f>8456+2498</f>
        <v>10954</v>
      </c>
      <c r="J68" s="61">
        <v>10954</v>
      </c>
      <c r="K68" s="29" t="s">
        <v>104</v>
      </c>
      <c r="L68" s="18">
        <v>8875</v>
      </c>
      <c r="M68" s="18"/>
      <c r="N68" s="18"/>
      <c r="O68" s="18"/>
      <c r="P68" s="18"/>
      <c r="Q68" s="18"/>
      <c r="R68" s="18"/>
      <c r="S68" s="18"/>
      <c r="T68" s="18"/>
      <c r="U68" s="3"/>
    </row>
    <row r="69" spans="1:21" ht="24" customHeight="1">
      <c r="A69" s="15" t="s">
        <v>71</v>
      </c>
      <c r="B69" s="5" t="s">
        <v>26</v>
      </c>
      <c r="C69" s="5">
        <v>2011</v>
      </c>
      <c r="D69" s="5">
        <v>2016</v>
      </c>
      <c r="E69" s="5">
        <v>801</v>
      </c>
      <c r="F69" s="5">
        <v>80101</v>
      </c>
      <c r="G69" s="8">
        <f t="shared" si="8"/>
        <v>2800000</v>
      </c>
      <c r="H69" s="3"/>
      <c r="I69" s="55">
        <v>800000</v>
      </c>
      <c r="J69" s="61">
        <v>33517.39</v>
      </c>
      <c r="K69" s="29" t="s">
        <v>90</v>
      </c>
      <c r="L69" s="21">
        <v>2000000</v>
      </c>
      <c r="M69" s="20"/>
      <c r="N69" s="20"/>
      <c r="O69" s="20"/>
      <c r="P69" s="18"/>
      <c r="Q69" s="18"/>
      <c r="R69" s="18"/>
      <c r="S69" s="18"/>
      <c r="T69" s="18"/>
      <c r="U69" s="3"/>
    </row>
    <row r="70" spans="1:21" ht="25.5">
      <c r="A70" s="14" t="s">
        <v>69</v>
      </c>
      <c r="B70" s="5" t="s">
        <v>26</v>
      </c>
      <c r="C70" s="5">
        <v>2011</v>
      </c>
      <c r="D70" s="5">
        <v>2014</v>
      </c>
      <c r="E70" s="5">
        <v>801</v>
      </c>
      <c r="F70" s="5">
        <v>80101</v>
      </c>
      <c r="G70" s="8">
        <f t="shared" si="8"/>
        <v>2549977</v>
      </c>
      <c r="H70" s="3"/>
      <c r="I70" s="55">
        <f>20000+30000</f>
        <v>50000</v>
      </c>
      <c r="J70" s="61">
        <v>0</v>
      </c>
      <c r="K70" s="29" t="s">
        <v>105</v>
      </c>
      <c r="L70" s="18">
        <v>100000</v>
      </c>
      <c r="M70" s="21">
        <f>50977+50000-1000</f>
        <v>99977</v>
      </c>
      <c r="N70" s="18">
        <v>2000000</v>
      </c>
      <c r="O70" s="21">
        <v>300000</v>
      </c>
      <c r="P70" s="18"/>
      <c r="Q70" s="18"/>
      <c r="R70" s="18"/>
      <c r="S70" s="18"/>
      <c r="T70" s="18"/>
      <c r="U70" s="3"/>
    </row>
    <row r="71" spans="1:21" ht="25.5" customHeight="1">
      <c r="A71" s="14" t="s">
        <v>50</v>
      </c>
      <c r="B71" s="5" t="s">
        <v>26</v>
      </c>
      <c r="C71" s="5">
        <v>2011</v>
      </c>
      <c r="D71" s="5">
        <v>2014</v>
      </c>
      <c r="E71" s="5">
        <v>801</v>
      </c>
      <c r="F71" s="5">
        <v>80101</v>
      </c>
      <c r="G71" s="8">
        <f t="shared" si="8"/>
        <v>2301000</v>
      </c>
      <c r="H71" s="3"/>
      <c r="I71" s="55">
        <v>1000</v>
      </c>
      <c r="J71" s="61">
        <v>765.75</v>
      </c>
      <c r="K71" s="29" t="s">
        <v>105</v>
      </c>
      <c r="L71" s="18">
        <v>600000</v>
      </c>
      <c r="M71" s="18">
        <v>1000000</v>
      </c>
      <c r="N71" s="18">
        <v>300000</v>
      </c>
      <c r="O71" s="21">
        <v>400000</v>
      </c>
      <c r="P71" s="18"/>
      <c r="Q71" s="18"/>
      <c r="R71" s="18"/>
      <c r="S71" s="18"/>
      <c r="T71" s="18"/>
      <c r="U71" s="3"/>
    </row>
    <row r="72" spans="1:21" ht="25.5">
      <c r="A72" s="14" t="s">
        <v>54</v>
      </c>
      <c r="B72" s="5" t="s">
        <v>26</v>
      </c>
      <c r="C72" s="5">
        <v>2011</v>
      </c>
      <c r="D72" s="5">
        <v>2020</v>
      </c>
      <c r="E72" s="5">
        <v>801</v>
      </c>
      <c r="F72" s="5">
        <v>80104</v>
      </c>
      <c r="G72" s="8">
        <f t="shared" si="8"/>
        <v>14955699</v>
      </c>
      <c r="H72" s="3"/>
      <c r="I72" s="55">
        <v>1000</v>
      </c>
      <c r="J72" s="61">
        <v>0</v>
      </c>
      <c r="K72" s="29" t="s">
        <v>105</v>
      </c>
      <c r="L72" s="18">
        <v>1000</v>
      </c>
      <c r="M72" s="18">
        <v>1000</v>
      </c>
      <c r="N72" s="18">
        <v>1000</v>
      </c>
      <c r="O72" s="18">
        <v>10000</v>
      </c>
      <c r="P72" s="18">
        <v>100000</v>
      </c>
      <c r="Q72" s="18">
        <v>300000</v>
      </c>
      <c r="R72" s="21">
        <f>2000000</f>
        <v>2000000</v>
      </c>
      <c r="S72" s="18">
        <v>5000000</v>
      </c>
      <c r="T72" s="18">
        <f>5000000+2541699</f>
        <v>7541699</v>
      </c>
      <c r="U72" s="3"/>
    </row>
    <row r="73" spans="1:21" ht="25.5">
      <c r="A73" s="14" t="s">
        <v>55</v>
      </c>
      <c r="B73" s="5" t="s">
        <v>26</v>
      </c>
      <c r="C73" s="5">
        <v>2011</v>
      </c>
      <c r="D73" s="5">
        <v>2015</v>
      </c>
      <c r="E73" s="5">
        <v>801</v>
      </c>
      <c r="F73" s="5">
        <v>80104</v>
      </c>
      <c r="G73" s="8">
        <f t="shared" si="8"/>
        <v>8371311</v>
      </c>
      <c r="H73" s="3"/>
      <c r="I73" s="54">
        <v>1000</v>
      </c>
      <c r="J73" s="61">
        <v>0</v>
      </c>
      <c r="K73" s="29" t="s">
        <v>105</v>
      </c>
      <c r="L73" s="21">
        <v>1000</v>
      </c>
      <c r="M73" s="21">
        <v>1000000</v>
      </c>
      <c r="N73" s="21">
        <f>3500000+1986719+450000</f>
        <v>5936719</v>
      </c>
      <c r="O73" s="21">
        <v>1432592</v>
      </c>
      <c r="P73" s="18"/>
      <c r="Q73" s="18"/>
      <c r="R73" s="18"/>
      <c r="S73" s="18"/>
      <c r="T73" s="18"/>
      <c r="U73" s="3"/>
    </row>
    <row r="74" spans="1:21" ht="36">
      <c r="A74" s="15" t="s">
        <v>56</v>
      </c>
      <c r="B74" s="5" t="s">
        <v>26</v>
      </c>
      <c r="C74" s="5">
        <v>2011</v>
      </c>
      <c r="D74" s="5">
        <v>2020</v>
      </c>
      <c r="E74" s="5">
        <v>801</v>
      </c>
      <c r="F74" s="5">
        <v>80104</v>
      </c>
      <c r="G74" s="8">
        <f t="shared" si="8"/>
        <v>1520000</v>
      </c>
      <c r="H74" s="3"/>
      <c r="I74" s="55">
        <f>20000+300000+200000</f>
        <v>520000</v>
      </c>
      <c r="J74" s="61">
        <v>491524.12</v>
      </c>
      <c r="K74" s="29" t="s">
        <v>108</v>
      </c>
      <c r="L74" s="18">
        <v>20000</v>
      </c>
      <c r="M74" s="18">
        <v>100000</v>
      </c>
      <c r="N74" s="18">
        <v>700000</v>
      </c>
      <c r="O74" s="18">
        <v>20000</v>
      </c>
      <c r="P74" s="18">
        <v>20000</v>
      </c>
      <c r="Q74" s="18">
        <v>50000</v>
      </c>
      <c r="R74" s="18">
        <v>20000</v>
      </c>
      <c r="S74" s="18">
        <v>20000</v>
      </c>
      <c r="T74" s="18">
        <v>50000</v>
      </c>
      <c r="U74" s="3"/>
    </row>
    <row r="75" spans="1:21" ht="36">
      <c r="A75" s="10" t="s">
        <v>57</v>
      </c>
      <c r="B75" s="5" t="s">
        <v>26</v>
      </c>
      <c r="C75" s="5">
        <v>2011</v>
      </c>
      <c r="D75" s="5">
        <v>2020</v>
      </c>
      <c r="E75" s="5">
        <v>801</v>
      </c>
      <c r="F75" s="5">
        <v>80104</v>
      </c>
      <c r="G75" s="8">
        <f t="shared" si="8"/>
        <v>320000</v>
      </c>
      <c r="H75" s="3"/>
      <c r="I75" s="55">
        <v>50000</v>
      </c>
      <c r="J75" s="61">
        <v>0</v>
      </c>
      <c r="K75" s="29" t="s">
        <v>106</v>
      </c>
      <c r="L75" s="18">
        <v>20000</v>
      </c>
      <c r="M75" s="18">
        <v>20000</v>
      </c>
      <c r="N75" s="18">
        <v>50000</v>
      </c>
      <c r="O75" s="18">
        <v>20000</v>
      </c>
      <c r="P75" s="18">
        <v>20000</v>
      </c>
      <c r="Q75" s="18">
        <v>50000</v>
      </c>
      <c r="R75" s="18">
        <v>20000</v>
      </c>
      <c r="S75" s="18">
        <v>20000</v>
      </c>
      <c r="T75" s="18">
        <v>50000</v>
      </c>
      <c r="U75" s="3"/>
    </row>
    <row r="76" spans="1:21" ht="25.5">
      <c r="A76" s="14" t="s">
        <v>64</v>
      </c>
      <c r="B76" s="5" t="s">
        <v>26</v>
      </c>
      <c r="C76" s="5">
        <v>2011</v>
      </c>
      <c r="D76" s="5">
        <v>2020</v>
      </c>
      <c r="E76" s="5">
        <v>852</v>
      </c>
      <c r="F76" s="5">
        <v>85202</v>
      </c>
      <c r="G76" s="8">
        <f t="shared" si="8"/>
        <v>3808249</v>
      </c>
      <c r="H76" s="3"/>
      <c r="I76" s="54">
        <v>10000</v>
      </c>
      <c r="J76" s="61">
        <v>0</v>
      </c>
      <c r="K76" s="29" t="s">
        <v>105</v>
      </c>
      <c r="L76" s="21">
        <v>10000</v>
      </c>
      <c r="M76" s="21">
        <v>10000</v>
      </c>
      <c r="N76" s="21">
        <v>10000</v>
      </c>
      <c r="O76" s="21">
        <v>300000</v>
      </c>
      <c r="P76" s="21">
        <v>1000000</v>
      </c>
      <c r="Q76" s="21">
        <v>1420140</v>
      </c>
      <c r="R76" s="21">
        <v>1048109</v>
      </c>
      <c r="S76" s="20"/>
      <c r="T76" s="20"/>
      <c r="U76" s="3"/>
    </row>
    <row r="77" spans="1:21" ht="38.25">
      <c r="A77" s="4" t="s">
        <v>58</v>
      </c>
      <c r="B77" s="5" t="s">
        <v>26</v>
      </c>
      <c r="C77" s="5">
        <v>2011</v>
      </c>
      <c r="D77" s="5">
        <v>2018</v>
      </c>
      <c r="E77" s="36" t="s">
        <v>0</v>
      </c>
      <c r="F77" s="36"/>
      <c r="G77" s="8">
        <f>SUM(G78)</f>
        <v>2518298</v>
      </c>
      <c r="H77" s="3"/>
      <c r="I77" s="51">
        <f>SUM(I78)</f>
        <v>400000</v>
      </c>
      <c r="J77" s="60">
        <f>SUM(J78)</f>
        <v>118150.62</v>
      </c>
      <c r="K77" s="26" t="s">
        <v>95</v>
      </c>
      <c r="L77" s="8">
        <f aca="true" t="shared" si="12" ref="L77:T77">SUM(L78)</f>
        <v>150133</v>
      </c>
      <c r="M77" s="8">
        <f t="shared" si="12"/>
        <v>150000</v>
      </c>
      <c r="N77" s="8">
        <f t="shared" si="12"/>
        <v>150000</v>
      </c>
      <c r="O77" s="8">
        <f t="shared" si="12"/>
        <v>150000</v>
      </c>
      <c r="P77" s="8">
        <f t="shared" si="12"/>
        <v>218165</v>
      </c>
      <c r="Q77" s="8">
        <f t="shared" si="12"/>
        <v>200000</v>
      </c>
      <c r="R77" s="8">
        <f t="shared" si="12"/>
        <v>300000</v>
      </c>
      <c r="S77" s="8">
        <f t="shared" si="12"/>
        <v>400000</v>
      </c>
      <c r="T77" s="8">
        <f t="shared" si="12"/>
        <v>400000</v>
      </c>
      <c r="U77" s="3"/>
    </row>
    <row r="78" spans="1:21" ht="25.5">
      <c r="A78" s="10" t="s">
        <v>59</v>
      </c>
      <c r="B78" s="5" t="s">
        <v>26</v>
      </c>
      <c r="C78" s="5">
        <v>2011</v>
      </c>
      <c r="D78" s="5">
        <v>2020</v>
      </c>
      <c r="E78" s="5">
        <v>900</v>
      </c>
      <c r="F78" s="5">
        <v>90015</v>
      </c>
      <c r="G78" s="8">
        <f t="shared" si="8"/>
        <v>2518298</v>
      </c>
      <c r="H78" s="3"/>
      <c r="I78" s="55">
        <f>150000+50000+200000</f>
        <v>400000</v>
      </c>
      <c r="J78" s="61">
        <v>118150.62</v>
      </c>
      <c r="K78" s="29" t="s">
        <v>90</v>
      </c>
      <c r="L78" s="18">
        <v>150133</v>
      </c>
      <c r="M78" s="18">
        <v>150000</v>
      </c>
      <c r="N78" s="18">
        <v>150000</v>
      </c>
      <c r="O78" s="18">
        <v>150000</v>
      </c>
      <c r="P78" s="18">
        <v>218165</v>
      </c>
      <c r="Q78" s="18">
        <v>200000</v>
      </c>
      <c r="R78" s="18">
        <v>300000</v>
      </c>
      <c r="S78" s="18">
        <v>400000</v>
      </c>
      <c r="T78" s="18">
        <v>400000</v>
      </c>
      <c r="U78" s="3"/>
    </row>
    <row r="79" spans="1:21" ht="51">
      <c r="A79" s="4" t="s">
        <v>60</v>
      </c>
      <c r="B79" s="5" t="s">
        <v>26</v>
      </c>
      <c r="C79" s="5">
        <v>2011</v>
      </c>
      <c r="D79" s="5">
        <v>2019</v>
      </c>
      <c r="E79" s="36" t="s">
        <v>0</v>
      </c>
      <c r="F79" s="36"/>
      <c r="G79" s="8">
        <f>SUM(G80:G81)</f>
        <v>3358489</v>
      </c>
      <c r="H79" s="3"/>
      <c r="I79" s="51">
        <f>SUM(I80:I81)</f>
        <v>11000</v>
      </c>
      <c r="J79" s="60">
        <f>SUM(J80:J81)</f>
        <v>0</v>
      </c>
      <c r="K79" s="26" t="s">
        <v>95</v>
      </c>
      <c r="L79" s="8">
        <f aca="true" t="shared" si="13" ref="L79:T79">SUM(L80:L81)</f>
        <v>11000</v>
      </c>
      <c r="M79" s="8">
        <f t="shared" si="13"/>
        <v>21000</v>
      </c>
      <c r="N79" s="8">
        <f t="shared" si="13"/>
        <v>10000</v>
      </c>
      <c r="O79" s="8">
        <f t="shared" si="13"/>
        <v>20000</v>
      </c>
      <c r="P79" s="8">
        <f t="shared" si="13"/>
        <v>100000</v>
      </c>
      <c r="Q79" s="8">
        <f t="shared" si="13"/>
        <v>100000</v>
      </c>
      <c r="R79" s="8">
        <f t="shared" si="13"/>
        <v>300000</v>
      </c>
      <c r="S79" s="8">
        <f t="shared" si="13"/>
        <v>2785489</v>
      </c>
      <c r="T79" s="8">
        <f t="shared" si="13"/>
        <v>0</v>
      </c>
      <c r="U79" s="3"/>
    </row>
    <row r="80" spans="1:21" ht="36">
      <c r="A80" s="14" t="s">
        <v>67</v>
      </c>
      <c r="B80" s="5" t="s">
        <v>26</v>
      </c>
      <c r="C80" s="5">
        <v>2011</v>
      </c>
      <c r="D80" s="5">
        <v>2013</v>
      </c>
      <c r="E80" s="5">
        <v>921</v>
      </c>
      <c r="F80" s="5">
        <v>92109</v>
      </c>
      <c r="G80" s="8">
        <f t="shared" si="8"/>
        <v>40000</v>
      </c>
      <c r="H80" s="3"/>
      <c r="I80" s="55">
        <f>1000+9000</f>
        <v>10000</v>
      </c>
      <c r="J80" s="61">
        <v>0</v>
      </c>
      <c r="K80" s="29" t="s">
        <v>115</v>
      </c>
      <c r="L80" s="18">
        <f>1000+9000</f>
        <v>10000</v>
      </c>
      <c r="M80" s="18">
        <f>10000+10000</f>
        <v>20000</v>
      </c>
      <c r="N80" s="18"/>
      <c r="O80" s="18"/>
      <c r="P80" s="18"/>
      <c r="Q80" s="18"/>
      <c r="R80" s="18"/>
      <c r="S80" s="18"/>
      <c r="T80" s="16"/>
      <c r="U80" s="3"/>
    </row>
    <row r="81" spans="1:21" ht="25.5">
      <c r="A81" s="14" t="s">
        <v>68</v>
      </c>
      <c r="B81" s="5" t="s">
        <v>26</v>
      </c>
      <c r="C81" s="5">
        <v>2011</v>
      </c>
      <c r="D81" s="5">
        <v>2019</v>
      </c>
      <c r="E81" s="5">
        <v>921</v>
      </c>
      <c r="F81" s="5">
        <v>92109</v>
      </c>
      <c r="G81" s="8">
        <f t="shared" si="8"/>
        <v>3318489</v>
      </c>
      <c r="H81" s="3"/>
      <c r="I81" s="55">
        <v>1000</v>
      </c>
      <c r="J81" s="61">
        <v>0</v>
      </c>
      <c r="K81" s="29" t="s">
        <v>105</v>
      </c>
      <c r="L81" s="18">
        <v>1000</v>
      </c>
      <c r="M81" s="18">
        <v>1000</v>
      </c>
      <c r="N81" s="18">
        <v>10000</v>
      </c>
      <c r="O81" s="18">
        <v>20000</v>
      </c>
      <c r="P81" s="18">
        <v>100000</v>
      </c>
      <c r="Q81" s="18">
        <v>100000</v>
      </c>
      <c r="R81" s="18">
        <v>300000</v>
      </c>
      <c r="S81" s="18">
        <f>2500000+285489</f>
        <v>2785489</v>
      </c>
      <c r="T81" s="16"/>
      <c r="U81" s="3"/>
    </row>
    <row r="82" spans="1:21" ht="39.75" customHeight="1">
      <c r="A82" s="4" t="s">
        <v>61</v>
      </c>
      <c r="B82" s="5" t="s">
        <v>26</v>
      </c>
      <c r="C82" s="5">
        <v>2011</v>
      </c>
      <c r="D82" s="5">
        <v>2017</v>
      </c>
      <c r="E82" s="36" t="s">
        <v>0</v>
      </c>
      <c r="F82" s="36"/>
      <c r="G82" s="8">
        <f>SUM(G83:G92)</f>
        <v>450000</v>
      </c>
      <c r="H82" s="3"/>
      <c r="I82" s="51">
        <f>SUM(I83)</f>
        <v>10000</v>
      </c>
      <c r="J82" s="60">
        <f>SUM(J83)</f>
        <v>0</v>
      </c>
      <c r="K82" s="26" t="s">
        <v>95</v>
      </c>
      <c r="L82" s="8">
        <f aca="true" t="shared" si="14" ref="L82:T82">SUM(L83)</f>
        <v>10000</v>
      </c>
      <c r="M82" s="8">
        <f t="shared" si="14"/>
        <v>10000</v>
      </c>
      <c r="N82" s="8">
        <f t="shared" si="14"/>
        <v>10000</v>
      </c>
      <c r="O82" s="8">
        <f t="shared" si="14"/>
        <v>10000</v>
      </c>
      <c r="P82" s="8">
        <f t="shared" si="14"/>
        <v>200000</v>
      </c>
      <c r="Q82" s="8">
        <f t="shared" si="14"/>
        <v>200000</v>
      </c>
      <c r="R82" s="8">
        <f t="shared" si="14"/>
        <v>0</v>
      </c>
      <c r="S82" s="8">
        <f t="shared" si="14"/>
        <v>0</v>
      </c>
      <c r="T82" s="8">
        <f t="shared" si="14"/>
        <v>0</v>
      </c>
      <c r="U82" s="3"/>
    </row>
    <row r="83" spans="1:21" ht="36" customHeight="1">
      <c r="A83" s="10" t="s">
        <v>62</v>
      </c>
      <c r="B83" s="5" t="s">
        <v>26</v>
      </c>
      <c r="C83" s="5">
        <v>2011</v>
      </c>
      <c r="D83" s="5">
        <v>2017</v>
      </c>
      <c r="E83" s="5">
        <v>926</v>
      </c>
      <c r="F83" s="5">
        <v>92601</v>
      </c>
      <c r="G83" s="8">
        <f>SUM(I83:T83)</f>
        <v>450000</v>
      </c>
      <c r="H83" s="3"/>
      <c r="I83" s="62">
        <v>10000</v>
      </c>
      <c r="J83" s="61">
        <v>0</v>
      </c>
      <c r="K83" s="29" t="s">
        <v>115</v>
      </c>
      <c r="L83" s="18">
        <v>10000</v>
      </c>
      <c r="M83" s="18">
        <v>10000</v>
      </c>
      <c r="N83" s="18">
        <v>10000</v>
      </c>
      <c r="O83" s="18">
        <v>10000</v>
      </c>
      <c r="P83" s="18">
        <v>200000</v>
      </c>
      <c r="Q83" s="18">
        <v>200000</v>
      </c>
      <c r="R83" s="18"/>
      <c r="S83" s="18"/>
      <c r="T83" s="16"/>
      <c r="U83" s="3"/>
    </row>
    <row r="84" spans="1:21" ht="40.5" customHeight="1">
      <c r="A84" s="37" t="s">
        <v>18</v>
      </c>
      <c r="B84" s="37"/>
      <c r="C84" s="37"/>
      <c r="D84" s="37"/>
      <c r="E84" s="37"/>
      <c r="F84" s="37"/>
      <c r="G84" s="3"/>
      <c r="H84" s="3"/>
      <c r="I84" s="49"/>
      <c r="J84" s="30"/>
      <c r="K84" s="29"/>
      <c r="L84" s="3"/>
      <c r="M84" s="3"/>
      <c r="N84" s="3"/>
      <c r="O84" s="3"/>
      <c r="P84" s="3"/>
      <c r="Q84" s="3"/>
      <c r="R84" s="3"/>
      <c r="S84" s="3"/>
      <c r="T84" s="3"/>
      <c r="U84" s="3"/>
    </row>
    <row r="85" spans="1:21" ht="12.75">
      <c r="A85" s="37" t="s">
        <v>10</v>
      </c>
      <c r="B85" s="37"/>
      <c r="C85" s="37"/>
      <c r="D85" s="37"/>
      <c r="E85" s="37"/>
      <c r="F85" s="37"/>
      <c r="G85" s="3"/>
      <c r="H85" s="3"/>
      <c r="I85" s="49"/>
      <c r="J85" s="30"/>
      <c r="K85" s="29"/>
      <c r="L85" s="3"/>
      <c r="M85" s="3"/>
      <c r="N85" s="3"/>
      <c r="O85" s="3"/>
      <c r="P85" s="3"/>
      <c r="Q85" s="3"/>
      <c r="R85" s="3"/>
      <c r="S85" s="3"/>
      <c r="T85" s="3"/>
      <c r="U85" s="3"/>
    </row>
    <row r="86" spans="1:21" ht="12.75">
      <c r="A86" s="37" t="s">
        <v>11</v>
      </c>
      <c r="B86" s="37"/>
      <c r="C86" s="37"/>
      <c r="D86" s="37"/>
      <c r="E86" s="37"/>
      <c r="F86" s="37"/>
      <c r="G86" s="3"/>
      <c r="H86" s="3"/>
      <c r="I86" s="49"/>
      <c r="J86" s="30"/>
      <c r="K86" s="29"/>
      <c r="L86" s="3"/>
      <c r="M86" s="3"/>
      <c r="N86" s="3"/>
      <c r="O86" s="3"/>
      <c r="P86" s="3"/>
      <c r="Q86" s="3"/>
      <c r="R86" s="3"/>
      <c r="S86" s="3"/>
      <c r="T86" s="3"/>
      <c r="U86" s="3"/>
    </row>
    <row r="87" spans="1:21" ht="12.75">
      <c r="A87" s="3" t="s">
        <v>19</v>
      </c>
      <c r="B87" s="3"/>
      <c r="C87" s="3"/>
      <c r="D87" s="3"/>
      <c r="E87" s="36" t="s">
        <v>0</v>
      </c>
      <c r="F87" s="36"/>
      <c r="G87" s="3"/>
      <c r="H87" s="3"/>
      <c r="I87" s="49"/>
      <c r="J87" s="30"/>
      <c r="K87" s="29"/>
      <c r="L87" s="3"/>
      <c r="M87" s="3"/>
      <c r="N87" s="3"/>
      <c r="O87" s="3"/>
      <c r="P87" s="3"/>
      <c r="Q87" s="3"/>
      <c r="R87" s="3"/>
      <c r="S87" s="3"/>
      <c r="T87" s="3"/>
      <c r="U87" s="3"/>
    </row>
    <row r="88" spans="1:21" ht="38.25">
      <c r="A88" s="3" t="s">
        <v>15</v>
      </c>
      <c r="B88" s="3"/>
      <c r="C88" s="3"/>
      <c r="D88" s="3"/>
      <c r="E88" s="3"/>
      <c r="F88" s="3"/>
      <c r="G88" s="3"/>
      <c r="H88" s="3"/>
      <c r="I88" s="49"/>
      <c r="J88" s="30"/>
      <c r="K88" s="29"/>
      <c r="L88" s="3"/>
      <c r="M88" s="3"/>
      <c r="N88" s="3"/>
      <c r="O88" s="3"/>
      <c r="P88" s="3"/>
      <c r="Q88" s="3"/>
      <c r="R88" s="3"/>
      <c r="S88" s="3"/>
      <c r="T88" s="3"/>
      <c r="U88" s="3"/>
    </row>
    <row r="89" spans="1:21" ht="12.75">
      <c r="A89" s="37" t="s">
        <v>20</v>
      </c>
      <c r="B89" s="37"/>
      <c r="C89" s="37"/>
      <c r="D89" s="37"/>
      <c r="E89" s="37"/>
      <c r="F89" s="37"/>
      <c r="G89" s="3"/>
      <c r="H89" s="3"/>
      <c r="I89" s="49"/>
      <c r="J89" s="30"/>
      <c r="K89" s="29"/>
      <c r="L89" s="3"/>
      <c r="M89" s="3"/>
      <c r="N89" s="3"/>
      <c r="O89" s="3"/>
      <c r="P89" s="3"/>
      <c r="Q89" s="3"/>
      <c r="R89" s="3"/>
      <c r="S89" s="3"/>
      <c r="T89" s="3"/>
      <c r="U89" s="3"/>
    </row>
    <row r="90" spans="1:21" ht="12.75">
      <c r="A90" s="37" t="s">
        <v>10</v>
      </c>
      <c r="B90" s="37"/>
      <c r="C90" s="37"/>
      <c r="D90" s="37"/>
      <c r="E90" s="37"/>
      <c r="F90" s="37"/>
      <c r="G90" s="3"/>
      <c r="H90" s="3"/>
      <c r="I90" s="49"/>
      <c r="J90" s="30"/>
      <c r="K90" s="29"/>
      <c r="L90" s="3"/>
      <c r="M90" s="3"/>
      <c r="N90" s="3"/>
      <c r="O90" s="3"/>
      <c r="P90" s="3"/>
      <c r="Q90" s="3"/>
      <c r="R90" s="3"/>
      <c r="S90" s="3"/>
      <c r="T90" s="3"/>
      <c r="U90" s="3"/>
    </row>
    <row r="91" spans="1:21" ht="12.75">
      <c r="A91" s="3" t="s">
        <v>19</v>
      </c>
      <c r="B91" s="3"/>
      <c r="C91" s="3"/>
      <c r="D91" s="3"/>
      <c r="E91" s="36" t="s">
        <v>0</v>
      </c>
      <c r="F91" s="36"/>
      <c r="G91" s="3"/>
      <c r="H91" s="3"/>
      <c r="I91" s="49"/>
      <c r="J91" s="30"/>
      <c r="K91" s="29"/>
      <c r="L91" s="3"/>
      <c r="M91" s="3"/>
      <c r="N91" s="3"/>
      <c r="O91" s="3"/>
      <c r="P91" s="3"/>
      <c r="Q91" s="3"/>
      <c r="R91" s="3"/>
      <c r="S91" s="3"/>
      <c r="T91" s="3"/>
      <c r="U91" s="3"/>
    </row>
    <row r="92" spans="1:21" ht="38.25">
      <c r="A92" s="3" t="s">
        <v>15</v>
      </c>
      <c r="B92" s="3"/>
      <c r="C92" s="3"/>
      <c r="D92" s="3"/>
      <c r="E92" s="3"/>
      <c r="F92" s="3"/>
      <c r="G92" s="3"/>
      <c r="H92" s="3"/>
      <c r="I92" s="49"/>
      <c r="J92" s="30"/>
      <c r="K92" s="29"/>
      <c r="L92" s="3"/>
      <c r="M92" s="3"/>
      <c r="N92" s="3"/>
      <c r="O92" s="3"/>
      <c r="P92" s="3"/>
      <c r="Q92" s="3"/>
      <c r="R92" s="3"/>
      <c r="S92" s="3"/>
      <c r="T92" s="3"/>
      <c r="U92" s="3"/>
    </row>
    <row r="93" spans="1:21" ht="12.75">
      <c r="A93" s="1"/>
      <c r="B93" s="1"/>
      <c r="C93" s="1"/>
      <c r="D93" s="1"/>
      <c r="E93" s="1"/>
      <c r="F93" s="1"/>
      <c r="G93" s="1"/>
      <c r="H93" s="1"/>
      <c r="I93" s="56"/>
      <c r="J93" s="31"/>
      <c r="L93" s="1"/>
      <c r="M93" s="1"/>
      <c r="N93" s="1"/>
      <c r="O93" s="1"/>
      <c r="P93" s="1"/>
      <c r="Q93" s="1"/>
      <c r="R93" s="1"/>
      <c r="S93" s="1"/>
      <c r="T93" s="1"/>
      <c r="U93" s="1"/>
    </row>
    <row r="94" ht="12.75">
      <c r="A94" s="22"/>
    </row>
    <row r="95" ht="12.75">
      <c r="A95" s="22"/>
    </row>
    <row r="96" ht="12.75">
      <c r="I96" s="58"/>
    </row>
  </sheetData>
  <mergeCells count="40">
    <mergeCell ref="A2:U2"/>
    <mergeCell ref="U3:U4"/>
    <mergeCell ref="G3:G4"/>
    <mergeCell ref="H3:H4"/>
    <mergeCell ref="I3:T4"/>
    <mergeCell ref="C3:D4"/>
    <mergeCell ref="A7:F7"/>
    <mergeCell ref="A8:F8"/>
    <mergeCell ref="A9:F9"/>
    <mergeCell ref="E3:F4"/>
    <mergeCell ref="A3:A4"/>
    <mergeCell ref="B3:B4"/>
    <mergeCell ref="A10:F10"/>
    <mergeCell ref="A11:F11"/>
    <mergeCell ref="A12:F12"/>
    <mergeCell ref="A13:F13"/>
    <mergeCell ref="E14:F14"/>
    <mergeCell ref="A16:F16"/>
    <mergeCell ref="A17:F17"/>
    <mergeCell ref="A18:F18"/>
    <mergeCell ref="E19:F19"/>
    <mergeCell ref="A21:F21"/>
    <mergeCell ref="A22:F22"/>
    <mergeCell ref="A23:F23"/>
    <mergeCell ref="A89:F89"/>
    <mergeCell ref="A90:F90"/>
    <mergeCell ref="E24:F24"/>
    <mergeCell ref="E31:F31"/>
    <mergeCell ref="A84:F84"/>
    <mergeCell ref="A85:F85"/>
    <mergeCell ref="A1:U1"/>
    <mergeCell ref="E91:F91"/>
    <mergeCell ref="E79:F79"/>
    <mergeCell ref="E82:F82"/>
    <mergeCell ref="E38:F38"/>
    <mergeCell ref="E57:F57"/>
    <mergeCell ref="E63:F63"/>
    <mergeCell ref="E77:F77"/>
    <mergeCell ref="A86:F86"/>
    <mergeCell ref="E87:F87"/>
  </mergeCells>
  <printOptions/>
  <pageMargins left="0.7874015748031497" right="0.7874015748031497" top="0.3937007874015748" bottom="0.3937007874015748" header="0.5118110236220472" footer="0.5118110236220472"/>
  <pageSetup horizontalDpi="300" verticalDpi="300" orientation="landscape" paperSize="8" scale="71" r:id="rId1"/>
  <headerFooter alignWithMargins="0">
    <oddFooter>&amp;CStrona &amp;P</oddFooter>
  </headerFooter>
  <rowBreaks count="2" manualBreakCount="2">
    <brk id="38" max="19" man="1"/>
    <brk id="6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</dc:creator>
  <cp:keywords/>
  <dc:description/>
  <cp:lastModifiedBy>Gmina Michałowice</cp:lastModifiedBy>
  <cp:lastPrinted>2011-08-16T06:15:31Z</cp:lastPrinted>
  <dcterms:created xsi:type="dcterms:W3CDTF">2010-06-05T20:15:04Z</dcterms:created>
  <dcterms:modified xsi:type="dcterms:W3CDTF">2011-08-16T06:18:42Z</dcterms:modified>
  <cp:category/>
  <cp:version/>
  <cp:contentType/>
  <cp:contentStatus/>
</cp:coreProperties>
</file>