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'Arkusz1'!$A$1:$U$112</definedName>
    <definedName name="SSLink_0">#REF!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<sst xmlns="http://schemas.openxmlformats.org/spreadsheetml/2006/main" count="329" uniqueCount="203">
  <si>
    <t>Nazwa zadania</t>
  </si>
  <si>
    <t>I.</t>
  </si>
  <si>
    <t>Zadania kontynuowane</t>
  </si>
  <si>
    <t>II</t>
  </si>
  <si>
    <t>Zadania rozpoczynane</t>
  </si>
  <si>
    <t>010-01010</t>
  </si>
  <si>
    <t>600-60016</t>
  </si>
  <si>
    <t>700-70005</t>
  </si>
  <si>
    <t>750-75023</t>
  </si>
  <si>
    <t>600-60095</t>
  </si>
  <si>
    <t>900-90015</t>
  </si>
  <si>
    <t>Lp</t>
  </si>
  <si>
    <t>Środki budżetowe gminy</t>
  </si>
  <si>
    <t>środki własne</t>
  </si>
  <si>
    <t>ZADANIA  INWESTYCYJNE</t>
  </si>
  <si>
    <t xml:space="preserve">Razem zadania kontynuowane </t>
  </si>
  <si>
    <t>Razem zadania rozpoczynane</t>
  </si>
  <si>
    <t>pożyczki - kredyty</t>
  </si>
  <si>
    <t>801-80114</t>
  </si>
  <si>
    <t>926-92605</t>
  </si>
  <si>
    <t>801-80104</t>
  </si>
  <si>
    <t>Budowa chodnika w ul. Rumuńskiej w Michałowicach</t>
  </si>
  <si>
    <t>Budowa chodnika i jezdni wraz z odwodnieniem w ul. Rynkowej M-ce</t>
  </si>
  <si>
    <t>Nakład planowany w latach 2006-2007</t>
  </si>
  <si>
    <t>Opracowanie dokumentacji projektowej kanalizacji sanitarnej dla ulic Gminy M-ce zgodnie z zatwierdzoną koncepcją</t>
  </si>
  <si>
    <t>Modernizacja ul. Ogrodowej w Regułach</t>
  </si>
  <si>
    <t>Modernizacja ul. Reja w Granicy</t>
  </si>
  <si>
    <t>Budowa chodnika i jezdni w ul. Krasińskiego w Komorowie</t>
  </si>
  <si>
    <t>dotacje EFRR i inne</t>
  </si>
  <si>
    <t xml:space="preserve">pożyczka na prefinansow </t>
  </si>
  <si>
    <t>Budowa parkingów przy Szkole w Nowej Wsi i modernizacja ul Rekreacyjnej</t>
  </si>
  <si>
    <t xml:space="preserve">Budowa Alei Jana Pawła II w Komorowie </t>
  </si>
  <si>
    <t xml:space="preserve">Zakupy inwestycyjne ZOEAS (zakup sprzetu komputerowego i biurowego)   </t>
  </si>
  <si>
    <t>udział mieszkańców</t>
  </si>
  <si>
    <t>w tym:</t>
  </si>
  <si>
    <t xml:space="preserve">Budowa ciągu pieszo-jezdnego w ul. Sportowej w Komorowie i chodnika w ul Konopnickiej </t>
  </si>
  <si>
    <t>Modernizacja oświetlenia ulicznego - opracowanie dokumentacji projektowej Gmina  Michałowice</t>
  </si>
  <si>
    <t>Zakup udziałów WKD</t>
  </si>
  <si>
    <t>600-60004</t>
  </si>
  <si>
    <t>Budowa kanalizacji sanitarnej w ul. Skowronków, Dzikiej, Brzozowej  w Pęcicach Małych opracowanie dok. projektowej, wykonanie.</t>
  </si>
  <si>
    <t>Modernizacja wraz z dobudową sal w Przedszkolu w Michałowicach.</t>
  </si>
  <si>
    <t>DO REALIZACJI W ROKU BUDŻETOWYM 2007</t>
  </si>
  <si>
    <t>Plan  w 2007r.</t>
  </si>
  <si>
    <t>Budowa kanalizacji sanitarnej w ul. Malczewskiego w Granicy.</t>
  </si>
  <si>
    <t xml:space="preserve">Budowa kanalizacji sanitarnej w ul. Słonecznej, Polnej, Wrzosowej, Kaliszany, Różanej  w Komorowie Wsi </t>
  </si>
  <si>
    <t>Budowa kanalizacji sanitarnej w ul.Parkowej, Pęcickiej wraz z pompowniami i przewodem tłocznym w Pęcicach .</t>
  </si>
  <si>
    <t xml:space="preserve">Zakupy inwestycyjne Urzędu Gminy </t>
  </si>
  <si>
    <t>Opracowanie koncepcji kanalizacji, wykonanie ekspertyz i badań</t>
  </si>
  <si>
    <t xml:space="preserve">Budowa kanalizacji sanitarnej w ul. Pruszkowskiej, Poprzecznej Skośnej, Kochanowskiego, Podleśnej  w Granicy. </t>
  </si>
  <si>
    <t>Budowa kanalizacji sanitarnej w ul. Głównej w Nowej Wsi</t>
  </si>
  <si>
    <t>Budowa sieci wodociągowej w ul. Kraszewskiego i Ciszy Leśnej w Komorowie, Granicy.</t>
  </si>
  <si>
    <t>Budowa urządzeń odwad. ul. Ireny,  w Komorowie.</t>
  </si>
  <si>
    <t>Zlewnia Komorów i Komorów Wieś ( zlewnia nr 18) + odwodnienie Al. St. Lip i skrzyżowania przy SUW</t>
  </si>
  <si>
    <t>Odwodnienie ul. Głównej i Jesiennej w Nowej Wsi</t>
  </si>
  <si>
    <t>Budowa chodnika i ścieżki rowerowej w  ul. Głównej w Nowej Wsi wraz z  odwodnieniem.</t>
  </si>
  <si>
    <t>Budowa chodnika w ul. Raszyńskiej w Michałowicach</t>
  </si>
  <si>
    <t>Modernizacja ul. Słowackiego w M-cach</t>
  </si>
  <si>
    <t>Modernizacja ul. Szkolnej wraz z odwodnieniem w M-ch</t>
  </si>
  <si>
    <t>Modernizacja ul. Leśnej w Pęcicach Małych</t>
  </si>
  <si>
    <t>Modernizacja ul. Jodłowej w Granicy</t>
  </si>
  <si>
    <t>Modernizacja ul. Warszawskiej (str. Północna i Południowa) w Granicy</t>
  </si>
  <si>
    <t>Budowa i adaptacja budynku przy ul. Wiejskiej na potrzeby mieszkańców Komorowa Wsi i Komorowa</t>
  </si>
  <si>
    <t>Budowa sieci wodociągowej w ul. Sabały i odejścia od Polnej w Granicy</t>
  </si>
  <si>
    <t>Kan. sanit. wsch. cz. Gminy (dok. proj.i wyk.) budowa w ul:  Szarej, Kasztanowej, Poniatowskiego,  M-ce Wieś oraz w ul.Borowskiego w Opaczy Małej.</t>
  </si>
  <si>
    <t>Budowa chodnika w ul. Pruszkowskiej Etap II od Reja do ul. Głównej w Granicy</t>
  </si>
  <si>
    <t>Budowa ciągu pieszo-rowerowego Etap II Reguły -Pęcice ul. Parkowa w Pęcicach.</t>
  </si>
  <si>
    <t>Budowa sieci wodociągowej w ul. Słonecznej i Rzemielsniczej w Nowej Wsi.</t>
  </si>
  <si>
    <t>801-80101</t>
  </si>
  <si>
    <t xml:space="preserve">Zakupy inwestycyjne dla Szkoły w M-cach (zakup maszyny stomatologicznej)   </t>
  </si>
  <si>
    <t>Budowa kanalizacji sanitarnej w ul.: Północnej, Niecałej, Południowej i Zachodniej wraz z infrastrukturą techniczną w Komorowie Wsi</t>
  </si>
  <si>
    <t>Modernizacja ul.  Ogrodowej w  M-cach</t>
  </si>
  <si>
    <t>Sieć wodociągowa na terenie Gminy (obsługa geodezyjna, opracowanie dok. projektowej.)</t>
  </si>
  <si>
    <t>Budowa infrastruktury drogowej w rejonie posterunku policji w Regułach.</t>
  </si>
  <si>
    <t>921-92109</t>
  </si>
  <si>
    <t>754-75412</t>
  </si>
  <si>
    <t>Wydatki inwest. -montaż radiowęzła i monitoringu w szkole w M-cach.</t>
  </si>
  <si>
    <t>Modernizacja ul. Ireny i Podhalańskiej w Komorowie.</t>
  </si>
  <si>
    <t>010-01011</t>
  </si>
  <si>
    <t>900-90004</t>
  </si>
  <si>
    <t>Budowa ogródka jordanowskiego i boiska sportowego w Opaczy Kol.</t>
  </si>
  <si>
    <t>Budowa ogródka jordanowskiego w Komorowie Wsi</t>
  </si>
  <si>
    <t xml:space="preserve">Zagospodarowanie terenu przy zbiorniku retencyjnym w Komorowie Wsi </t>
  </si>
  <si>
    <t>Budowa boiska w Pęcicach Małych</t>
  </si>
  <si>
    <t>Budowa ogródka jordanowskiego w Nowej Wsi</t>
  </si>
  <si>
    <t xml:space="preserve">Budowa kanalizacji sanitarnej wraz z wodociągiem w ul.: Słonecznej, Rzemieślniczej  i Polnej  w Nowej Wsi </t>
  </si>
  <si>
    <t>Zakupy inwest. - zakup motopompy i drabiny</t>
  </si>
  <si>
    <t>Opis</t>
  </si>
  <si>
    <t>Wybrano wykonawcę zadania. Termin realizacji - koniec września br.</t>
  </si>
  <si>
    <t>Ogłoszono przetarg. Wybór oferty 6.08.2007.</t>
  </si>
  <si>
    <t>Wybrano wykonawcę projektu. Termin wykonania projektu - koniec sierpnia br.</t>
  </si>
  <si>
    <t>Klasyfi- kacja budżetowa</t>
  </si>
  <si>
    <t>udział mieszkań- ców</t>
  </si>
  <si>
    <t>pożycz-ka na prefinan-sowanie</t>
  </si>
  <si>
    <t>Wprowadzono wykonawcę na teren budowy.</t>
  </si>
  <si>
    <t>Budowa przykanalików sanitarnych w ulicach gdzie kanalizacja sanitarna została wybudowana w latach ubiegłych (cz. zach.60.000 , wsch. 40.000 zł)</t>
  </si>
  <si>
    <t>Budowa sieci wodociągowej w ul Kuklińskiego, Żwirki, Wigury i w bok od Jesionowej  w M-cach</t>
  </si>
  <si>
    <t>Modernizacja ul. Centralnej obie strony (dok. proj. wyk.) w Opaczy</t>
  </si>
  <si>
    <t>Budowa ścieżki rowerowej w ul. Głównej i Turystycznej w Komorowei Wsi (dok. proj.)</t>
  </si>
  <si>
    <t>Budowa odwodnienia w ul. Ogrodowej, Kraszewskiego i w ul. Wiejskiej (od U1 do Parku) w Regułach</t>
  </si>
  <si>
    <r>
      <t>Opracowanie dok. proj. dla ulic objętych planem WPI na rok 2007 i 2008</t>
    </r>
    <r>
      <rPr>
        <i/>
        <sz val="12"/>
        <rFont val="Times New Roman CE"/>
        <family val="1"/>
      </rPr>
      <t xml:space="preserve"> oraz rozliczenie dok. drogowej wykonanej w  2006 r.</t>
    </r>
  </si>
  <si>
    <t>Odwodnienie ul. Leśnej (dok. proj. i wyk.) w Pęcicach</t>
  </si>
  <si>
    <t>Odwodnienie na terenie Gminy (dok. proj. i wyk.)</t>
  </si>
  <si>
    <t>Budowa zespołu szkolno-przeszkolnego w Regułach (dok. proj.)</t>
  </si>
  <si>
    <t>Rozbudowa świetlicy wraz z zapleczem socjalnym w Regułach (dok. proj.)</t>
  </si>
  <si>
    <t>Budowa  ogródka jordanowskiego w M-cach (dok. proj.) - ogólnodostępna strefa rekreacji dziecięcej.</t>
  </si>
  <si>
    <t>Budowa i modernizacja dróg transportu rolnego ul. Rodzinnej w Sokołowie, ul. Granicznej w Regułach oraz modernizacja ul. Okrężnej, Dziewanny, Lawendowej, Cisowej, Cedrowej w Granicy, Stara Droga, Kaliszany w Komorowe Wsi, Akacjowej w Opaczy Kol., ul. Wąskiej i Źródlanej w Pęcicach</t>
  </si>
  <si>
    <t>Budowa sieci wodociągowej w ul. Ireny w Komorowie</t>
  </si>
  <si>
    <t>Budowa sieci wodociągowej w ul. w bok od ul. Ryżowej w Opaczy Kol.</t>
  </si>
  <si>
    <t>Budowa sieci wodociągowej w ul Jasnej, Mokrej, Grabowej w Opaczy Kol.</t>
  </si>
  <si>
    <t>Budowa kanalizacji sanitarnej  w ul. Wąskiej w Sokołowie-Pęcicach</t>
  </si>
  <si>
    <t>Modernizacja ul Okrężnej w Komorowe-Granicy - dok. proj. i wyk. (na odcinku od Nowowiejskiej do Harcerskiej)</t>
  </si>
  <si>
    <t>Budowa chodnika w ul. Działkowej w Regułach (kontynuacja)</t>
  </si>
  <si>
    <t>Opracowanie dok. proj. dla dróg w ul: Kasztanowej, Ks. Poniatowskiego, Wesołej, 11 Listopada,  Al.Topolowej, Szkolnej, Kuchy, Graniczna, Cicha i Regulska w Michałowicach, Michałowicach Wsi i Regułach</t>
  </si>
  <si>
    <t>Zagospodarowanie terenu przy ul. Kraszewskiego w Komorowe (utworzenie terenów zieleni)</t>
  </si>
  <si>
    <t>Budowa kanalizacji sanitarnej w ul.:  Żwirki i Wigury, płk. Kuklińskiego w Opaczy Kol. Regulskiej, odejścia od Jesionowej w M-cach</t>
  </si>
  <si>
    <t>Budowa kanalizacji sanitarnej w ul.: Mokrej, Jasnej, Grabowej, Makowej Studziennej w Opaczy Kol.</t>
  </si>
  <si>
    <t xml:space="preserve">Kan. sanit. zach. cz. gminy (dok proj.i wyk.) budowa w ul.: Sadowej, Bez Nazwy, Kasztanowej, Al. Starych Lip cz. II i III , w Komorowie Wsi, M. Dąbrowskiej, Kurpińskiego, Moniuszki, Chopina, Sobieskiego, 3 Maja, Poniatowskiego, Sieradzkiej w Komorowie wraz z niezbędną infrastrukturą. </t>
  </si>
  <si>
    <t xml:space="preserve">Budowa kanalizacji sanitarnej w ul.: Szerokiej, Piaskowej, Bez Nazwy w Granicy </t>
  </si>
  <si>
    <t>Kan.sanit. wsch. cz. Gminy (dok. proj.i wyk) w ul Centralnej w Opaczy Kol. odejścia od ul. Centralnej i Ryżowej</t>
  </si>
  <si>
    <t>Budowa chodnika w ul. Wesołej i Poniatowskiego we Wsi Michałowice (wraz z dokum. techn.)</t>
  </si>
  <si>
    <t>Budowa chodnika i naprawa nawierzchni w ul. Bodycha w Opaczy Kol. wraz z odwodnieniem</t>
  </si>
  <si>
    <r>
      <t>Modernizacja ul. Kolejowej wraz z budową urządzeń odwadniających i małej retencji - zlewnia nr 11 M-ce ul. Kolejowa</t>
    </r>
    <r>
      <rPr>
        <i/>
        <sz val="12"/>
        <rFont val="Times New Roman CE"/>
        <family val="1"/>
      </rPr>
      <t xml:space="preserve"> </t>
    </r>
    <r>
      <rPr>
        <sz val="12"/>
        <rFont val="Times New Roman CE"/>
        <family val="1"/>
      </rPr>
      <t>(str. zachodnia)</t>
    </r>
  </si>
  <si>
    <t>Budowa budynku Urzędu Gminy wraz z infrastrukturą techniczną (dok. proj. i wyk.)</t>
  </si>
  <si>
    <t>Budowa ogródka jordanowskiego w Regułach</t>
  </si>
  <si>
    <t>Budowa urządzeń  rekreacji i małej architektury przy świetlicy w Pęcicach - ogólnodostępna strefa rekreacji dziecięcej.</t>
  </si>
  <si>
    <t>Budowa ogródka jordanowskiego w Sokołowie - ogólnodostepna strefa rekreacji dziecięcej.</t>
  </si>
  <si>
    <t>Budowa ogródka jordanowskiego przy ul. Kolejowej  w  Komorowe</t>
  </si>
  <si>
    <t>Budowa kanalizacji sanitarnej w ul. Badylarskiej, Środkowej w Opaczy Kol.</t>
  </si>
  <si>
    <t>Budowa kanalizacji sanitarnej do budynku w Pęcicach  majątek) i w  ul. Kamień Polny i Leśnej w Pęcicach Małych</t>
  </si>
  <si>
    <t>Budowa kanalizacji sanitarnej w ul. Kalinowej, Nałkowskiej i Modrzejewskiej w Granicy.</t>
  </si>
  <si>
    <t>Budowa kanalizacji sanitarnej w ul. Gościnnej, Sabały Dębowej  w Granicy, Sportowej, Granickiej w Komorowie</t>
  </si>
  <si>
    <t>Budowa sieci wodociągowej w  Al. Powstańców od torów WKD do Pęcickiej i od Pęcickiej do Pomnika Powstańców W-wy lub drogą polną (dok. proj.) w Regułach.</t>
  </si>
  <si>
    <t>Budowa sieci wodociągowej w ul. M.  Dąbrowskiej w Komorowie (od Podhalańskiej do Skorupki).</t>
  </si>
  <si>
    <t>SUW Komorów  modernizacja - połączenie z Pęcicami ( dok. proj.), SUW Pęcice montaż agregatu prądotwórczego</t>
  </si>
  <si>
    <t>Modernizacja ul. Jesiennej i Polna, Kamelskiego w Nowej Wsi etap I</t>
  </si>
  <si>
    <t>Modernizacja ul. Agatowej, Leśnej, Turkusowej  w Komorowie</t>
  </si>
  <si>
    <t>Budowa ścieżki rowerowej w ul.Topolowej w M-cach</t>
  </si>
  <si>
    <t>Modernizacja oświetlenia w  ul: Orzechowa, Żwirowa, Kalinowa, Dziewanny, Cisowa, Lawendowa w Komorowie- Granicy, Polna w Nowej Wsi, Dębowa w Michałowicach i w ul. Szarej w Michałowicach Wsi, oraz w ul. Orlej, Wiosennej w Nowej Wsi, Czarneckiego w Regułach, Popiełuszki w Michałowicach, Cedrowa w Komorowie-Granicy.</t>
  </si>
  <si>
    <t>Przebudowa rowu U-1 (dok.-proj.)</t>
  </si>
  <si>
    <t>Dokumentacja w trakcie opracowywania.</t>
  </si>
  <si>
    <t>Roboty zakończone.</t>
  </si>
  <si>
    <t>Prace zakończone. Pozostały do realizacji płatności.</t>
  </si>
  <si>
    <t>Wykonano chodnik i część odwodnienia. Pozostały do realizacji płatności.</t>
  </si>
  <si>
    <t>Podstawowy zakres prac wykonany, trwa wykończanie.</t>
  </si>
  <si>
    <t>Prace zakończone.</t>
  </si>
  <si>
    <t>Zadanie w trakcie realizacji.</t>
  </si>
  <si>
    <t>Prace zakończone. Trwa rozliczanie.</t>
  </si>
  <si>
    <t>Roboty w toku. Zaawansowanie rzeczowe ok. 30%.</t>
  </si>
  <si>
    <t>Trwaja roboty, zaawansowanie rzeczowe ok. 30%</t>
  </si>
  <si>
    <t>W trakcie zgłaszania do Starostwa.</t>
  </si>
  <si>
    <t>Przygotowywane zlecenia na wykonanie ogrodzenia placu zabaw.</t>
  </si>
  <si>
    <t>Dokumentacja w toku.</t>
  </si>
  <si>
    <t>Zadanie w realizacji.</t>
  </si>
  <si>
    <t>Ogłoszono przetarg na ul. Jesienną.</t>
  </si>
  <si>
    <t>Wykonano koncepcję.</t>
  </si>
  <si>
    <t>Wykonana dokumentacja, w trakcie załatwiania pozwoleń.</t>
  </si>
  <si>
    <t>W trakcie opracowania.</t>
  </si>
  <si>
    <t>Zadanie w trakcie realizacji. Stan zaawansowania prac 95%, planowany termin zakończenia zadania 31 sierpnia br.</t>
  </si>
  <si>
    <t>Zadanie w trakcie realizacji. Stan zaawansowania prac 85%, planowany termin zakończenia zadania 31 sierpnia br.</t>
  </si>
  <si>
    <t>Zadanie realizowane na bieżąco zgodnie z ustaleniami.</t>
  </si>
  <si>
    <t>Zaawansowanie prac 85%, planowany termin wykonania zadania 30 września br.</t>
  </si>
  <si>
    <t xml:space="preserve">Realizacja zadania w trakcie. Prace w ulicy Zachodniej zakończone, ulica Północna ukończona w 50%, planowany termin zakończenia prac 31 sierpnia br. </t>
  </si>
  <si>
    <t>Zadanie planowane do wykonania w III kwartale br.</t>
  </si>
  <si>
    <t>Zadanie w fazie projektowej. Planowany termin wykonania 2008 r.</t>
  </si>
  <si>
    <t>Zadanie w fazie projektowej.</t>
  </si>
  <si>
    <t>Zadanie  wykonane w 90%. Zakończenie prac planowane 31 września br.</t>
  </si>
  <si>
    <t>Zadanie wykonane w 50%.</t>
  </si>
  <si>
    <t>Zadanie w fazie projektowej. Termin realizacji 2008.</t>
  </si>
  <si>
    <t>Prace w ulicy Wesołej zakończone. Ulica Poniatowskiego będzie realizowana po ukończeniu prac związanych z trwającą budową kanału sanitarnego.</t>
  </si>
  <si>
    <t>Zakup mienia komunalnego</t>
  </si>
  <si>
    <t>Realizacja zadania w trakcie - ułożony kanał w ul. Jasnej. Wykonanie całości zadania do 31 sierpnia br.</t>
  </si>
  <si>
    <t>Zadanie w trakcie realizacji. Stan zaawansowania prac 70%.</t>
  </si>
  <si>
    <t>Zaawansowanie rzeczowe w 85%, montaż urządzeń zabawowych.</t>
  </si>
  <si>
    <t>Montaż agregatu prądotwórczego zakończony. Projekt połączenia - koniec sierpnia br.</t>
  </si>
  <si>
    <t>Ogłoszono przetarg nieograniczony na wykonawcę prac.</t>
  </si>
  <si>
    <t xml:space="preserve">Wybrano wykonawcę projektu sieci i przyłączy. Realizacja zadania 30 października br. </t>
  </si>
  <si>
    <t>W trakcie organizowania przetargu na roboty uzupełniające.</t>
  </si>
  <si>
    <t>Wykonanana dokumentacja projektowa. Przygotowanie dok. do zgłoszenia i pozwoleń.</t>
  </si>
  <si>
    <t>Zlecono do opracowanie dok. projekt.</t>
  </si>
  <si>
    <t>Zadanie w zakresie budowy kanałów sanitarnych wykonane. Nie zrealizowano budowy przydomowych pompowni ścieków w ul. Regulskiej.</t>
  </si>
  <si>
    <t>Prace w ulicy Polnej zakończone.Rozpoczeto budowe kanmalizacji w ul. Słonecznej i Rzemielśniczej.</t>
  </si>
  <si>
    <t>Zadanie wykonane. Nie rozliczone finansowo.</t>
  </si>
  <si>
    <t>Zadanie realizowane- nie rozliczone finansowo</t>
  </si>
  <si>
    <t>Zadanie wtreakcie realizacji.</t>
  </si>
  <si>
    <t>Zadanie zrealizowano.</t>
  </si>
  <si>
    <t>W trakcie realizacji</t>
  </si>
  <si>
    <t>Nie rozpoczęto realizacji</t>
  </si>
  <si>
    <t>Rozpoczęto realizację</t>
  </si>
  <si>
    <t>Zlecono opracowanie dok. proj.</t>
  </si>
  <si>
    <t>Dokumentacja w toku.( trwa weryfikacji dokumentacji)</t>
  </si>
  <si>
    <t>Zadanie przygotowywane do przetargu</t>
  </si>
  <si>
    <t>w trakcie ogłoszone w BIP -zaproszenie do składania ofert na wykonanie tego zadania</t>
  </si>
  <si>
    <t>Nie ropzoczeto realizacji</t>
  </si>
  <si>
    <t>Nie ropzoczęto realizacji</t>
  </si>
  <si>
    <t xml:space="preserve">% wykonanie </t>
  </si>
  <si>
    <t>Wójta Gminy Michałowice</t>
  </si>
  <si>
    <t>Załącznik Nr 4</t>
  </si>
  <si>
    <t>Wydatki inwestycyjne ogółem:</t>
  </si>
  <si>
    <t>Plan 2007 roku</t>
  </si>
  <si>
    <t>Wykonanie za I półrocze 2007 r</t>
  </si>
  <si>
    <t>Dotacja nie została przekazana, zadanie realizowane przez Starostwo Powiatowe</t>
  </si>
  <si>
    <t xml:space="preserve">do Zarządzenia Nr 125 /2007 </t>
  </si>
  <si>
    <t>z dnia 16 sierpnia 2007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</si>
</sst>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2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0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8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vertical="top" wrapText="1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1" fontId="7" fillId="0" borderId="1" xfId="0" applyNumberFormat="1" applyFont="1" applyBorder="1" applyAlignment="1">
      <alignment horizontal="center" vertical="top"/>
    </xf>
    <xf numFmtId="169" fontId="7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6" fontId="7" fillId="0" borderId="1" xfId="0" applyNumberFormat="1" applyFont="1" applyBorder="1" applyAlignment="1">
      <alignment horizontal="center" vertical="top"/>
    </xf>
    <xf numFmtId="6" fontId="10" fillId="0" borderId="1" xfId="0" applyFont="1" applyBorder="1" applyAlignment="1">
      <alignment vertical="top"/>
    </xf>
    <xf numFmtId="168" fontId="8" fillId="0" borderId="1" xfId="0" applyNumberFormat="1" applyFont="1" applyBorder="1" applyAlignment="1">
      <alignment horizontal="right"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6" fontId="8" fillId="0" borderId="1" xfId="0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Border="1" applyAlignment="1">
      <alignment/>
    </xf>
    <xf numFmtId="6" fontId="9" fillId="0" borderId="0" xfId="0" applyFont="1" applyBorder="1" applyAlignment="1">
      <alignment vertical="top"/>
    </xf>
    <xf numFmtId="6" fontId="9" fillId="0" borderId="0" xfId="0" applyFont="1" applyAlignment="1">
      <alignment vertical="top"/>
    </xf>
    <xf numFmtId="168" fontId="9" fillId="0" borderId="1" xfId="0" applyNumberFormat="1" applyFont="1" applyBorder="1" applyAlignment="1">
      <alignment vertical="top"/>
    </xf>
    <xf numFmtId="6" fontId="7" fillId="0" borderId="1" xfId="0" applyFont="1" applyBorder="1" applyAlignment="1">
      <alignment horizontal="left" vertical="top" wrapText="1"/>
    </xf>
    <xf numFmtId="6" fontId="7" fillId="0" borderId="1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/>
    </xf>
    <xf numFmtId="6" fontId="8" fillId="0" borderId="0" xfId="0" applyFont="1" applyBorder="1" applyAlignment="1">
      <alignment vertical="top"/>
    </xf>
    <xf numFmtId="6" fontId="8" fillId="0" borderId="0" xfId="0" applyFont="1" applyBorder="1" applyAlignment="1">
      <alignment horizontal="center" vertical="top"/>
    </xf>
    <xf numFmtId="6" fontId="7" fillId="2" borderId="1" xfId="0" applyFont="1" applyFill="1" applyBorder="1" applyAlignment="1">
      <alignment vertical="top" wrapText="1"/>
    </xf>
    <xf numFmtId="6" fontId="7" fillId="2" borderId="1" xfId="0" applyFont="1" applyFill="1" applyBorder="1" applyAlignment="1">
      <alignment horizontal="left" vertical="top" wrapText="1"/>
    </xf>
    <xf numFmtId="6" fontId="7" fillId="0" borderId="1" xfId="0" applyFont="1" applyFill="1" applyBorder="1" applyAlignment="1">
      <alignment vertical="top" wrapText="1"/>
    </xf>
    <xf numFmtId="10" fontId="7" fillId="0" borderId="1" xfId="0" applyNumberFormat="1" applyFont="1" applyBorder="1" applyAlignment="1">
      <alignment vertical="top"/>
    </xf>
    <xf numFmtId="10" fontId="8" fillId="0" borderId="1" xfId="0" applyNumberFormat="1" applyFont="1" applyBorder="1" applyAlignment="1">
      <alignment vertical="top"/>
    </xf>
    <xf numFmtId="6" fontId="8" fillId="0" borderId="1" xfId="0" applyFont="1" applyBorder="1" applyAlignment="1">
      <alignment vertical="top"/>
    </xf>
    <xf numFmtId="168" fontId="10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11" fillId="0" borderId="0" xfId="0" applyFont="1" applyAlignment="1">
      <alignment/>
    </xf>
    <xf numFmtId="169" fontId="7" fillId="0" borderId="1" xfId="0" applyNumberFormat="1" applyFont="1" applyBorder="1" applyAlignment="1">
      <alignment horizontal="center" vertical="top"/>
    </xf>
    <xf numFmtId="6" fontId="7" fillId="0" borderId="1" xfId="0" applyFont="1" applyBorder="1" applyAlignment="1">
      <alignment/>
    </xf>
    <xf numFmtId="6" fontId="11" fillId="0" borderId="0" xfId="0" applyFont="1" applyBorder="1" applyAlignment="1">
      <alignment/>
    </xf>
    <xf numFmtId="6" fontId="7" fillId="0" borderId="1" xfId="0" applyFont="1" applyBorder="1" applyAlignment="1">
      <alignment horizontal="justify" vertical="top" wrapText="1"/>
    </xf>
    <xf numFmtId="6" fontId="7" fillId="0" borderId="1" xfId="0" applyFont="1" applyBorder="1" applyAlignment="1">
      <alignment horizontal="center" vertical="justify"/>
    </xf>
    <xf numFmtId="6" fontId="0" fillId="0" borderId="1" xfId="0" applyBorder="1" applyAlignment="1">
      <alignment/>
    </xf>
    <xf numFmtId="6" fontId="8" fillId="0" borderId="3" xfId="0" applyFont="1" applyBorder="1" applyAlignment="1">
      <alignment horizontal="center" vertical="top" wrapText="1"/>
    </xf>
    <xf numFmtId="6" fontId="0" fillId="0" borderId="4" xfId="0" applyBorder="1" applyAlignment="1">
      <alignment horizontal="center" vertical="top" wrapText="1"/>
    </xf>
    <xf numFmtId="6" fontId="7" fillId="0" borderId="3" xfId="0" applyFont="1" applyBorder="1" applyAlignment="1">
      <alignment horizontal="center" vertical="top" wrapText="1"/>
    </xf>
    <xf numFmtId="6" fontId="7" fillId="0" borderId="3" xfId="0" applyFont="1" applyBorder="1" applyAlignment="1">
      <alignment horizontal="center" vertical="top"/>
    </xf>
    <xf numFmtId="6" fontId="0" fillId="0" borderId="4" xfId="0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 wrapText="1"/>
    </xf>
    <xf numFmtId="6" fontId="7" fillId="0" borderId="1" xfId="0" applyFont="1" applyBorder="1" applyAlignment="1">
      <alignment horizontal="center" vertical="top"/>
    </xf>
    <xf numFmtId="1" fontId="8" fillId="0" borderId="5" xfId="0" applyNumberFormat="1" applyFont="1" applyBorder="1" applyAlignment="1">
      <alignment horizontal="left" vertical="top"/>
    </xf>
    <xf numFmtId="6" fontId="7" fillId="0" borderId="6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view="pageBreakPreview" zoomScaleNormal="75" zoomScaleSheetLayoutView="100" workbookViewId="0" topLeftCell="A1">
      <selection activeCell="T6" sqref="T6:T7"/>
    </sheetView>
  </sheetViews>
  <sheetFormatPr defaultColWidth="9.00390625" defaultRowHeight="12.75"/>
  <cols>
    <col min="1" max="1" width="4.125" style="7" customWidth="1"/>
    <col min="2" max="2" width="78.00390625" style="7" customWidth="1"/>
    <col min="3" max="3" width="19.50390625" style="7" customWidth="1"/>
    <col min="4" max="4" width="9.875" style="7" hidden="1" customWidth="1"/>
    <col min="5" max="5" width="11.00390625" style="7" hidden="1" customWidth="1"/>
    <col min="6" max="6" width="10.125" style="7" hidden="1" customWidth="1"/>
    <col min="7" max="9" width="9.50390625" style="7" hidden="1" customWidth="1"/>
    <col min="10" max="10" width="10.625" style="7" hidden="1" customWidth="1"/>
    <col min="11" max="11" width="14.875" style="7" hidden="1" customWidth="1"/>
    <col min="12" max="12" width="13.625" style="7" hidden="1" customWidth="1"/>
    <col min="13" max="13" width="15.875" style="7" hidden="1" customWidth="1"/>
    <col min="14" max="14" width="12.50390625" style="7" hidden="1" customWidth="1"/>
    <col min="15" max="15" width="9.625" style="7" hidden="1" customWidth="1"/>
    <col min="16" max="16" width="10.375" style="7" hidden="1" customWidth="1"/>
    <col min="17" max="17" width="13.875" style="21" hidden="1" customWidth="1"/>
    <col min="18" max="18" width="18.375" style="6" customWidth="1"/>
    <col min="19" max="19" width="14.375" style="6" customWidth="1"/>
    <col min="20" max="20" width="15.625" style="6" customWidth="1"/>
    <col min="21" max="21" width="53.375" style="30" customWidth="1"/>
    <col min="22" max="23" width="9.375" style="7" customWidth="1"/>
    <col min="24" max="24" width="8.625" style="7" customWidth="1"/>
    <col min="25" max="16384" width="9.375" style="7" customWidth="1"/>
  </cols>
  <sheetData>
    <row r="1" spans="1:20" ht="15.75">
      <c r="A1" s="1"/>
      <c r="B1" s="2"/>
      <c r="C1" s="3"/>
      <c r="D1" s="3"/>
      <c r="E1" s="4"/>
      <c r="F1" s="5"/>
      <c r="G1" s="5"/>
      <c r="H1" s="5"/>
      <c r="I1" s="5"/>
      <c r="J1" s="4"/>
      <c r="K1" s="4"/>
      <c r="L1" s="4"/>
      <c r="N1" s="33"/>
      <c r="O1" s="32"/>
      <c r="P1" s="32"/>
      <c r="Q1" s="7"/>
      <c r="R1" s="7"/>
      <c r="S1" s="7"/>
      <c r="T1" s="7"/>
    </row>
    <row r="2" spans="1:21" ht="15.75">
      <c r="A2" s="1"/>
      <c r="B2" s="39" t="s">
        <v>14</v>
      </c>
      <c r="C2" s="40"/>
      <c r="D2" s="3"/>
      <c r="E2" s="4"/>
      <c r="F2" s="5"/>
      <c r="G2" s="5"/>
      <c r="H2" s="5"/>
      <c r="I2" s="5"/>
      <c r="J2" s="4"/>
      <c r="K2" s="4"/>
      <c r="L2" s="4"/>
      <c r="N2" s="34"/>
      <c r="O2" s="32"/>
      <c r="P2" s="31"/>
      <c r="Q2" s="7"/>
      <c r="R2" s="7"/>
      <c r="S2" s="7"/>
      <c r="T2" s="48" t="s">
        <v>196</v>
      </c>
      <c r="U2" s="48"/>
    </row>
    <row r="3" spans="1:21" ht="15.75">
      <c r="A3" s="1"/>
      <c r="B3" s="39" t="s">
        <v>41</v>
      </c>
      <c r="C3" s="40"/>
      <c r="D3" s="3"/>
      <c r="E3" s="4"/>
      <c r="F3" s="5"/>
      <c r="G3" s="5"/>
      <c r="H3" s="5"/>
      <c r="I3" s="5"/>
      <c r="J3" s="4"/>
      <c r="K3" s="4"/>
      <c r="L3" s="4"/>
      <c r="M3" s="4"/>
      <c r="N3" s="61"/>
      <c r="O3" s="61"/>
      <c r="P3" s="61"/>
      <c r="Q3" s="62"/>
      <c r="R3" s="22"/>
      <c r="S3" s="22"/>
      <c r="T3" s="49" t="s">
        <v>201</v>
      </c>
      <c r="U3" s="48"/>
    </row>
    <row r="4" spans="1:21" ht="15.75">
      <c r="A4" s="1"/>
      <c r="B4" s="39"/>
      <c r="C4" s="40"/>
      <c r="D4" s="3"/>
      <c r="E4" s="4"/>
      <c r="F4" s="5"/>
      <c r="G4" s="5"/>
      <c r="H4" s="5"/>
      <c r="I4" s="5"/>
      <c r="J4" s="4"/>
      <c r="K4" s="4"/>
      <c r="L4" s="4"/>
      <c r="M4" s="4"/>
      <c r="N4" s="61"/>
      <c r="O4" s="61"/>
      <c r="P4" s="61"/>
      <c r="Q4" s="22"/>
      <c r="R4" s="22"/>
      <c r="S4" s="22"/>
      <c r="T4" s="49" t="s">
        <v>195</v>
      </c>
      <c r="U4" s="48"/>
    </row>
    <row r="5" spans="1:21" ht="15.75">
      <c r="A5" s="1"/>
      <c r="B5" s="8"/>
      <c r="C5" s="3"/>
      <c r="D5" s="3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6"/>
      <c r="T5" s="52" t="s">
        <v>202</v>
      </c>
      <c r="U5" s="52"/>
    </row>
    <row r="6" spans="1:21" ht="12.75" customHeight="1">
      <c r="A6" s="67" t="s">
        <v>11</v>
      </c>
      <c r="B6" s="68" t="s">
        <v>0</v>
      </c>
      <c r="C6" s="63" t="s">
        <v>90</v>
      </c>
      <c r="D6" s="63" t="s">
        <v>23</v>
      </c>
      <c r="E6" s="63" t="s">
        <v>12</v>
      </c>
      <c r="F6" s="64" t="s">
        <v>34</v>
      </c>
      <c r="G6" s="64"/>
      <c r="H6" s="63" t="s">
        <v>28</v>
      </c>
      <c r="I6" s="63" t="s">
        <v>29</v>
      </c>
      <c r="J6" s="63" t="s">
        <v>17</v>
      </c>
      <c r="K6" s="63" t="s">
        <v>42</v>
      </c>
      <c r="L6" s="63" t="s">
        <v>12</v>
      </c>
      <c r="M6" s="64" t="s">
        <v>34</v>
      </c>
      <c r="N6" s="64"/>
      <c r="O6" s="63" t="s">
        <v>28</v>
      </c>
      <c r="P6" s="63" t="s">
        <v>92</v>
      </c>
      <c r="Q6" s="63" t="s">
        <v>17</v>
      </c>
      <c r="R6" s="56" t="s">
        <v>198</v>
      </c>
      <c r="S6" s="58" t="s">
        <v>199</v>
      </c>
      <c r="T6" s="59" t="s">
        <v>194</v>
      </c>
      <c r="U6" s="54" t="s">
        <v>86</v>
      </c>
    </row>
    <row r="7" spans="1:21" ht="36" customHeight="1">
      <c r="A7" s="67"/>
      <c r="B7" s="68"/>
      <c r="C7" s="69"/>
      <c r="D7" s="63"/>
      <c r="E7" s="64"/>
      <c r="F7" s="37" t="s">
        <v>13</v>
      </c>
      <c r="G7" s="37" t="s">
        <v>33</v>
      </c>
      <c r="H7" s="63"/>
      <c r="I7" s="64"/>
      <c r="J7" s="64"/>
      <c r="K7" s="64"/>
      <c r="L7" s="64"/>
      <c r="M7" s="37" t="s">
        <v>13</v>
      </c>
      <c r="N7" s="37" t="s">
        <v>91</v>
      </c>
      <c r="O7" s="63"/>
      <c r="P7" s="64"/>
      <c r="Q7" s="64"/>
      <c r="R7" s="57"/>
      <c r="S7" s="57"/>
      <c r="T7" s="60"/>
      <c r="U7" s="55"/>
    </row>
    <row r="8" spans="1:21" ht="15.75">
      <c r="A8" s="12">
        <v>1</v>
      </c>
      <c r="B8" s="13">
        <v>2</v>
      </c>
      <c r="C8" s="13">
        <v>3</v>
      </c>
      <c r="D8" s="13">
        <v>4</v>
      </c>
      <c r="E8" s="13">
        <v>6</v>
      </c>
      <c r="F8" s="13">
        <v>7</v>
      </c>
      <c r="G8" s="13">
        <v>8</v>
      </c>
      <c r="H8" s="13">
        <v>9</v>
      </c>
      <c r="I8" s="13">
        <v>10</v>
      </c>
      <c r="J8" s="13">
        <v>11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50">
        <v>4</v>
      </c>
      <c r="S8" s="13">
        <v>5</v>
      </c>
      <c r="T8" s="13">
        <v>6</v>
      </c>
      <c r="U8" s="38">
        <v>7</v>
      </c>
    </row>
    <row r="9" spans="1:21" ht="15.75">
      <c r="A9" s="14" t="s">
        <v>1</v>
      </c>
      <c r="B9" s="15" t="s">
        <v>2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46"/>
      <c r="S9" s="11"/>
      <c r="T9" s="11"/>
      <c r="U9" s="23"/>
    </row>
    <row r="10" spans="1:21" ht="65.25" customHeight="1">
      <c r="A10" s="12">
        <v>1</v>
      </c>
      <c r="B10" s="9" t="s">
        <v>114</v>
      </c>
      <c r="C10" s="10" t="s">
        <v>5</v>
      </c>
      <c r="D10" s="10">
        <v>400000</v>
      </c>
      <c r="E10" s="17">
        <f>SUM(F10:G10)</f>
        <v>162000</v>
      </c>
      <c r="F10" s="17">
        <v>82000</v>
      </c>
      <c r="G10" s="17">
        <v>80000</v>
      </c>
      <c r="H10" s="17">
        <v>0</v>
      </c>
      <c r="I10" s="17">
        <v>0</v>
      </c>
      <c r="J10" s="17">
        <v>0</v>
      </c>
      <c r="K10" s="16">
        <f>SUM(L10+Q10+O10+P10)</f>
        <v>408000</v>
      </c>
      <c r="L10" s="17">
        <f aca="true" t="shared" si="0" ref="L10:L19">SUM(M10:N10)</f>
        <v>108000</v>
      </c>
      <c r="M10" s="17">
        <f>48000+30000</f>
        <v>78000</v>
      </c>
      <c r="N10" s="17">
        <v>30000</v>
      </c>
      <c r="O10" s="17">
        <v>0</v>
      </c>
      <c r="P10" s="17">
        <v>0</v>
      </c>
      <c r="Q10" s="17">
        <v>300000</v>
      </c>
      <c r="R10" s="27">
        <v>408000</v>
      </c>
      <c r="S10" s="17">
        <v>340300</v>
      </c>
      <c r="T10" s="44">
        <f>SUM(S10/R10)</f>
        <v>0.8340686274509804</v>
      </c>
      <c r="U10" s="23" t="s">
        <v>179</v>
      </c>
    </row>
    <row r="11" spans="1:21" ht="51.75" customHeight="1">
      <c r="A11" s="12">
        <v>2</v>
      </c>
      <c r="B11" s="9" t="s">
        <v>115</v>
      </c>
      <c r="C11" s="10" t="s">
        <v>5</v>
      </c>
      <c r="D11" s="10">
        <v>530000</v>
      </c>
      <c r="E11" s="17">
        <f>SUM(F11:G11)</f>
        <v>80000</v>
      </c>
      <c r="F11" s="17">
        <v>30000</v>
      </c>
      <c r="G11" s="17">
        <v>50000</v>
      </c>
      <c r="H11" s="17">
        <v>0</v>
      </c>
      <c r="I11" s="17">
        <v>0</v>
      </c>
      <c r="J11" s="17">
        <v>150000</v>
      </c>
      <c r="K11" s="16">
        <f>SUM(L11+Q11+O11+P11)</f>
        <v>495500</v>
      </c>
      <c r="L11" s="17">
        <f t="shared" si="0"/>
        <v>345500</v>
      </c>
      <c r="M11" s="17">
        <f>70000+245500</f>
        <v>315500</v>
      </c>
      <c r="N11" s="17">
        <v>30000</v>
      </c>
      <c r="O11" s="17">
        <v>0</v>
      </c>
      <c r="P11" s="17">
        <v>0</v>
      </c>
      <c r="Q11" s="17">
        <v>150000</v>
      </c>
      <c r="R11" s="27">
        <v>495500</v>
      </c>
      <c r="S11" s="17">
        <v>0</v>
      </c>
      <c r="T11" s="44">
        <f aca="true" t="shared" si="1" ref="T11:T74">SUM(S11/R11)</f>
        <v>0</v>
      </c>
      <c r="U11" s="23" t="s">
        <v>170</v>
      </c>
    </row>
    <row r="12" spans="1:21" ht="69.75" customHeight="1">
      <c r="A12" s="24">
        <v>3</v>
      </c>
      <c r="B12" s="9" t="s">
        <v>116</v>
      </c>
      <c r="C12" s="29" t="s">
        <v>5</v>
      </c>
      <c r="D12" s="29">
        <v>1850000</v>
      </c>
      <c r="E12" s="25">
        <f aca="true" t="shared" si="2" ref="E12:E20">SUM(F12:G12)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7">
        <f>SUM(L12+Q12+O12+P12)</f>
        <v>2390000</v>
      </c>
      <c r="L12" s="25">
        <f t="shared" si="0"/>
        <v>790000</v>
      </c>
      <c r="M12" s="25">
        <f>510000+130000</f>
        <v>640000</v>
      </c>
      <c r="N12" s="25">
        <v>150000</v>
      </c>
      <c r="O12" s="25">
        <v>0</v>
      </c>
      <c r="P12" s="25">
        <v>0</v>
      </c>
      <c r="Q12" s="25">
        <v>1600000</v>
      </c>
      <c r="R12" s="27">
        <v>2390000</v>
      </c>
      <c r="S12" s="25">
        <v>1300000</v>
      </c>
      <c r="T12" s="44">
        <f t="shared" si="1"/>
        <v>0.5439330543933054</v>
      </c>
      <c r="U12" s="23" t="s">
        <v>160</v>
      </c>
    </row>
    <row r="13" spans="1:21" ht="53.25" customHeight="1">
      <c r="A13" s="24">
        <v>4</v>
      </c>
      <c r="B13" s="9" t="s">
        <v>84</v>
      </c>
      <c r="C13" s="29" t="s">
        <v>5</v>
      </c>
      <c r="D13" s="29">
        <v>700000</v>
      </c>
      <c r="E13" s="25">
        <f t="shared" si="2"/>
        <v>200000</v>
      </c>
      <c r="F13" s="25">
        <v>50000</v>
      </c>
      <c r="G13" s="25">
        <v>150000</v>
      </c>
      <c r="H13" s="25">
        <v>0</v>
      </c>
      <c r="I13" s="25">
        <v>0</v>
      </c>
      <c r="J13" s="25">
        <v>150000</v>
      </c>
      <c r="K13" s="27">
        <f aca="true" t="shared" si="3" ref="K13:K19">SUM(L13+Q13+O13+P13)</f>
        <v>950000</v>
      </c>
      <c r="L13" s="25">
        <f t="shared" si="0"/>
        <v>550000</v>
      </c>
      <c r="M13" s="25">
        <f>40000+450000</f>
        <v>490000</v>
      </c>
      <c r="N13" s="25">
        <v>60000</v>
      </c>
      <c r="O13" s="25">
        <v>0</v>
      </c>
      <c r="P13" s="25">
        <v>0</v>
      </c>
      <c r="Q13" s="25">
        <v>400000</v>
      </c>
      <c r="R13" s="27">
        <v>950000</v>
      </c>
      <c r="S13" s="25">
        <v>151500</v>
      </c>
      <c r="T13" s="44">
        <f t="shared" si="1"/>
        <v>0.15947368421052632</v>
      </c>
      <c r="U13" s="23" t="s">
        <v>180</v>
      </c>
    </row>
    <row r="14" spans="1:21" ht="41.25" customHeight="1">
      <c r="A14" s="12">
        <v>5</v>
      </c>
      <c r="B14" s="9" t="s">
        <v>117</v>
      </c>
      <c r="C14" s="10" t="s">
        <v>5</v>
      </c>
      <c r="D14" s="10">
        <v>600000</v>
      </c>
      <c r="E14" s="17">
        <f t="shared" si="2"/>
        <v>220000</v>
      </c>
      <c r="F14" s="17">
        <v>120000</v>
      </c>
      <c r="G14" s="17">
        <v>100000</v>
      </c>
      <c r="H14" s="17">
        <v>0</v>
      </c>
      <c r="I14" s="17">
        <v>0</v>
      </c>
      <c r="J14" s="17">
        <v>150000</v>
      </c>
      <c r="K14" s="16">
        <f t="shared" si="3"/>
        <v>621000</v>
      </c>
      <c r="L14" s="17">
        <f t="shared" si="0"/>
        <v>321000</v>
      </c>
      <c r="M14" s="17">
        <f>91000+180000</f>
        <v>271000</v>
      </c>
      <c r="N14" s="17">
        <v>50000</v>
      </c>
      <c r="O14" s="17">
        <v>0</v>
      </c>
      <c r="P14" s="17">
        <v>0</v>
      </c>
      <c r="Q14" s="17">
        <v>300000</v>
      </c>
      <c r="R14" s="27">
        <v>621000</v>
      </c>
      <c r="S14" s="17">
        <v>110686.45</v>
      </c>
      <c r="T14" s="44">
        <f t="shared" si="1"/>
        <v>0.1782390499194847</v>
      </c>
      <c r="U14" s="23" t="s">
        <v>181</v>
      </c>
    </row>
    <row r="15" spans="1:21" ht="63.75" customHeight="1">
      <c r="A15" s="12">
        <v>6</v>
      </c>
      <c r="B15" s="9" t="s">
        <v>69</v>
      </c>
      <c r="C15" s="10" t="s">
        <v>5</v>
      </c>
      <c r="D15" s="10">
        <v>440000</v>
      </c>
      <c r="E15" s="17">
        <f t="shared" si="2"/>
        <v>240000</v>
      </c>
      <c r="F15" s="17">
        <v>100000</v>
      </c>
      <c r="G15" s="17">
        <v>140000</v>
      </c>
      <c r="H15" s="17">
        <v>0</v>
      </c>
      <c r="I15" s="17">
        <v>0</v>
      </c>
      <c r="J15" s="17">
        <v>200000</v>
      </c>
      <c r="K15" s="16">
        <f t="shared" si="3"/>
        <v>365000</v>
      </c>
      <c r="L15" s="17">
        <f t="shared" si="0"/>
        <v>235000</v>
      </c>
      <c r="M15" s="17">
        <f>50000+150000</f>
        <v>200000</v>
      </c>
      <c r="N15" s="17">
        <v>35000</v>
      </c>
      <c r="O15" s="17">
        <v>0</v>
      </c>
      <c r="P15" s="17">
        <v>0</v>
      </c>
      <c r="Q15" s="17">
        <v>130000</v>
      </c>
      <c r="R15" s="27">
        <v>365000</v>
      </c>
      <c r="S15" s="17">
        <v>60000</v>
      </c>
      <c r="T15" s="44">
        <f t="shared" si="1"/>
        <v>0.1643835616438356</v>
      </c>
      <c r="U15" s="23" t="s">
        <v>161</v>
      </c>
    </row>
    <row r="16" spans="1:21" ht="37.5" customHeight="1">
      <c r="A16" s="12">
        <v>7</v>
      </c>
      <c r="B16" s="9" t="s">
        <v>39</v>
      </c>
      <c r="C16" s="10" t="s">
        <v>5</v>
      </c>
      <c r="D16" s="10">
        <v>1400000</v>
      </c>
      <c r="E16" s="17">
        <f>SUM(F16:G16)</f>
        <v>150000</v>
      </c>
      <c r="F16" s="17">
        <v>50000</v>
      </c>
      <c r="G16" s="17">
        <v>100000</v>
      </c>
      <c r="H16" s="17">
        <v>0</v>
      </c>
      <c r="I16" s="17">
        <v>0</v>
      </c>
      <c r="J16" s="17">
        <v>550000</v>
      </c>
      <c r="K16" s="16">
        <f t="shared" si="3"/>
        <v>525000</v>
      </c>
      <c r="L16" s="17">
        <f t="shared" si="0"/>
        <v>125000</v>
      </c>
      <c r="M16" s="17">
        <v>75000</v>
      </c>
      <c r="N16" s="17">
        <v>50000</v>
      </c>
      <c r="O16" s="17">
        <v>0</v>
      </c>
      <c r="P16" s="17">
        <v>0</v>
      </c>
      <c r="Q16" s="17">
        <v>400000</v>
      </c>
      <c r="R16" s="27">
        <v>525000</v>
      </c>
      <c r="S16" s="17">
        <v>200000</v>
      </c>
      <c r="T16" s="44">
        <f t="shared" si="1"/>
        <v>0.38095238095238093</v>
      </c>
      <c r="U16" s="23" t="s">
        <v>181</v>
      </c>
    </row>
    <row r="17" spans="1:21" ht="48.75" customHeight="1">
      <c r="A17" s="12">
        <v>8</v>
      </c>
      <c r="B17" s="9" t="s">
        <v>24</v>
      </c>
      <c r="C17" s="10" t="s">
        <v>5</v>
      </c>
      <c r="D17" s="10">
        <v>330000</v>
      </c>
      <c r="E17" s="17">
        <f>SUM(F17:G17)</f>
        <v>330000</v>
      </c>
      <c r="F17" s="17">
        <v>330000</v>
      </c>
      <c r="G17" s="17">
        <v>0</v>
      </c>
      <c r="H17" s="17">
        <v>0</v>
      </c>
      <c r="I17" s="17">
        <v>0</v>
      </c>
      <c r="J17" s="17">
        <v>0</v>
      </c>
      <c r="K17" s="16">
        <f t="shared" si="3"/>
        <v>400000</v>
      </c>
      <c r="L17" s="17">
        <f t="shared" si="0"/>
        <v>400000</v>
      </c>
      <c r="M17" s="17">
        <f>200000+200000</f>
        <v>400000</v>
      </c>
      <c r="N17" s="17">
        <v>0</v>
      </c>
      <c r="O17" s="17">
        <v>0</v>
      </c>
      <c r="P17" s="17">
        <v>0</v>
      </c>
      <c r="Q17" s="17">
        <v>0</v>
      </c>
      <c r="R17" s="27">
        <v>400000</v>
      </c>
      <c r="S17" s="17">
        <v>40305.88</v>
      </c>
      <c r="T17" s="44">
        <f t="shared" si="1"/>
        <v>0.1007647</v>
      </c>
      <c r="U17" s="23" t="s">
        <v>156</v>
      </c>
    </row>
    <row r="18" spans="1:21" ht="36.75" customHeight="1">
      <c r="A18" s="12">
        <v>9</v>
      </c>
      <c r="B18" s="9" t="s">
        <v>43</v>
      </c>
      <c r="C18" s="10" t="s">
        <v>5</v>
      </c>
      <c r="D18" s="10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f t="shared" si="3"/>
        <v>80000</v>
      </c>
      <c r="L18" s="17">
        <f t="shared" si="0"/>
        <v>80000</v>
      </c>
      <c r="M18" s="17">
        <v>80000</v>
      </c>
      <c r="N18" s="17">
        <v>0</v>
      </c>
      <c r="O18" s="17">
        <v>0</v>
      </c>
      <c r="P18" s="17">
        <v>0</v>
      </c>
      <c r="Q18" s="17">
        <v>0</v>
      </c>
      <c r="R18" s="27">
        <v>80000</v>
      </c>
      <c r="S18" s="17">
        <v>0</v>
      </c>
      <c r="T18" s="44">
        <f t="shared" si="1"/>
        <v>0</v>
      </c>
      <c r="U18" s="23" t="s">
        <v>182</v>
      </c>
    </row>
    <row r="19" spans="1:21" ht="52.5" customHeight="1">
      <c r="A19" s="12">
        <v>10</v>
      </c>
      <c r="B19" s="9" t="s">
        <v>45</v>
      </c>
      <c r="C19" s="10" t="s">
        <v>5</v>
      </c>
      <c r="D19" s="10"/>
      <c r="E19" s="17"/>
      <c r="F19" s="17"/>
      <c r="G19" s="17"/>
      <c r="H19" s="17"/>
      <c r="I19" s="17"/>
      <c r="J19" s="17"/>
      <c r="K19" s="16">
        <f t="shared" si="3"/>
        <v>3080000</v>
      </c>
      <c r="L19" s="17">
        <f t="shared" si="0"/>
        <v>350000</v>
      </c>
      <c r="M19" s="17">
        <v>290000</v>
      </c>
      <c r="N19" s="17">
        <v>60000</v>
      </c>
      <c r="O19" s="17">
        <v>0</v>
      </c>
      <c r="P19" s="17">
        <v>0</v>
      </c>
      <c r="Q19" s="17">
        <v>2730000</v>
      </c>
      <c r="R19" s="27">
        <v>3080000</v>
      </c>
      <c r="S19" s="17">
        <v>2533762.11</v>
      </c>
      <c r="T19" s="44">
        <f t="shared" si="1"/>
        <v>0.8226500357142856</v>
      </c>
      <c r="U19" s="23" t="s">
        <v>157</v>
      </c>
    </row>
    <row r="20" spans="1:21" ht="69" customHeight="1">
      <c r="A20" s="24">
        <v>11</v>
      </c>
      <c r="B20" s="9" t="s">
        <v>63</v>
      </c>
      <c r="C20" s="29" t="s">
        <v>5</v>
      </c>
      <c r="D20" s="29">
        <v>1550000</v>
      </c>
      <c r="E20" s="25">
        <f t="shared" si="2"/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>SUM(L20+Q20+O20+P20)</f>
        <v>1760000</v>
      </c>
      <c r="L20" s="25">
        <f>SUM(M20:N20)</f>
        <v>420000</v>
      </c>
      <c r="M20" s="25">
        <f>220000+150000</f>
        <v>370000</v>
      </c>
      <c r="N20" s="25">
        <v>50000</v>
      </c>
      <c r="O20" s="25">
        <v>0</v>
      </c>
      <c r="P20" s="25">
        <v>0</v>
      </c>
      <c r="Q20" s="25">
        <v>1340000</v>
      </c>
      <c r="R20" s="27">
        <v>1760000</v>
      </c>
      <c r="S20" s="25">
        <v>1160732.8</v>
      </c>
      <c r="T20" s="44">
        <f t="shared" si="1"/>
        <v>0.6595072727272727</v>
      </c>
      <c r="U20" s="23" t="s">
        <v>158</v>
      </c>
    </row>
    <row r="21" spans="1:21" ht="48" customHeight="1">
      <c r="A21" s="12">
        <v>12</v>
      </c>
      <c r="B21" s="43" t="s">
        <v>71</v>
      </c>
      <c r="C21" s="10" t="s">
        <v>5</v>
      </c>
      <c r="D21" s="10">
        <v>60000</v>
      </c>
      <c r="E21" s="17">
        <f>SUM(F21:G21)</f>
        <v>60000</v>
      </c>
      <c r="F21" s="17">
        <v>0</v>
      </c>
      <c r="G21" s="17">
        <v>60000</v>
      </c>
      <c r="H21" s="17">
        <v>0</v>
      </c>
      <c r="I21" s="17">
        <v>0</v>
      </c>
      <c r="J21" s="17">
        <v>0</v>
      </c>
      <c r="K21" s="16">
        <f>SUM(L21+Q21+O21+P21)</f>
        <v>60000</v>
      </c>
      <c r="L21" s="17">
        <f>SUM(M21:N21)</f>
        <v>60000</v>
      </c>
      <c r="M21" s="17">
        <v>0</v>
      </c>
      <c r="N21" s="17">
        <v>60000</v>
      </c>
      <c r="O21" s="17">
        <v>0</v>
      </c>
      <c r="P21" s="17">
        <v>0</v>
      </c>
      <c r="Q21" s="17">
        <v>0</v>
      </c>
      <c r="R21" s="27">
        <v>60000</v>
      </c>
      <c r="S21" s="17">
        <v>9243.65</v>
      </c>
      <c r="T21" s="44">
        <f t="shared" si="1"/>
        <v>0.1540608333333333</v>
      </c>
      <c r="U21" s="23" t="s">
        <v>183</v>
      </c>
    </row>
    <row r="22" spans="1:21" ht="46.5" customHeight="1">
      <c r="A22" s="12">
        <v>13</v>
      </c>
      <c r="B22" s="9" t="s">
        <v>118</v>
      </c>
      <c r="C22" s="10" t="s">
        <v>5</v>
      </c>
      <c r="D22" s="10">
        <v>1100000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f>SUM(L22+Q22+O22+P22)</f>
        <v>1130000</v>
      </c>
      <c r="L22" s="17">
        <f>SUM(M22:N22)</f>
        <v>330000</v>
      </c>
      <c r="M22" s="17">
        <f>140000+130000</f>
        <v>270000</v>
      </c>
      <c r="N22" s="17">
        <v>60000</v>
      </c>
      <c r="O22" s="17">
        <v>0</v>
      </c>
      <c r="P22" s="17">
        <v>0</v>
      </c>
      <c r="Q22" s="17">
        <v>800000</v>
      </c>
      <c r="R22" s="27">
        <v>1130000</v>
      </c>
      <c r="S22" s="17">
        <v>20509.46</v>
      </c>
      <c r="T22" s="44">
        <f t="shared" si="1"/>
        <v>0.01814996460176991</v>
      </c>
      <c r="U22" s="23" t="s">
        <v>171</v>
      </c>
    </row>
    <row r="23" spans="1:21" ht="37.5" customHeight="1">
      <c r="A23" s="12">
        <v>14</v>
      </c>
      <c r="B23" s="9" t="s">
        <v>62</v>
      </c>
      <c r="C23" s="10" t="s">
        <v>5</v>
      </c>
      <c r="D23" s="10"/>
      <c r="E23" s="17"/>
      <c r="F23" s="17"/>
      <c r="G23" s="17"/>
      <c r="H23" s="17"/>
      <c r="I23" s="17"/>
      <c r="J23" s="17"/>
      <c r="K23" s="16">
        <f>SUM(L23+Q23+O23+P23)</f>
        <v>70000</v>
      </c>
      <c r="L23" s="17">
        <f>SUM(M23:N23)</f>
        <v>70000</v>
      </c>
      <c r="M23" s="17">
        <v>40000</v>
      </c>
      <c r="N23" s="17">
        <v>30000</v>
      </c>
      <c r="O23" s="17">
        <v>0</v>
      </c>
      <c r="P23" s="17">
        <v>0</v>
      </c>
      <c r="Q23" s="17">
        <v>0</v>
      </c>
      <c r="R23" s="27">
        <v>70000</v>
      </c>
      <c r="S23" s="17">
        <v>60920.21</v>
      </c>
      <c r="T23" s="44">
        <f t="shared" si="1"/>
        <v>0.8702887142857143</v>
      </c>
      <c r="U23" s="23" t="s">
        <v>159</v>
      </c>
    </row>
    <row r="24" spans="1:21" ht="21" customHeight="1">
      <c r="A24" s="12">
        <v>15</v>
      </c>
      <c r="B24" s="9" t="s">
        <v>37</v>
      </c>
      <c r="C24" s="10" t="s">
        <v>38</v>
      </c>
      <c r="D24" s="10">
        <v>50000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f>SUM(L24+Q24+O24+P24)</f>
        <v>50000</v>
      </c>
      <c r="L24" s="17">
        <f>SUM(M24:N24)</f>
        <v>50000</v>
      </c>
      <c r="M24" s="17">
        <v>50000</v>
      </c>
      <c r="N24" s="17">
        <v>0</v>
      </c>
      <c r="O24" s="17">
        <v>0</v>
      </c>
      <c r="P24" s="17">
        <v>0</v>
      </c>
      <c r="Q24" s="17">
        <v>0</v>
      </c>
      <c r="R24" s="27">
        <v>50000</v>
      </c>
      <c r="S24" s="17">
        <v>49104</v>
      </c>
      <c r="T24" s="44">
        <f t="shared" si="1"/>
        <v>0.98208</v>
      </c>
      <c r="U24" s="23" t="s">
        <v>184</v>
      </c>
    </row>
    <row r="25" spans="1:21" s="30" customFormat="1" ht="21" customHeight="1">
      <c r="A25" s="24">
        <v>16</v>
      </c>
      <c r="B25" s="9" t="s">
        <v>25</v>
      </c>
      <c r="C25" s="29" t="s">
        <v>6</v>
      </c>
      <c r="D25" s="29">
        <v>250000</v>
      </c>
      <c r="E25" s="25">
        <f>SUM(F25:G25)</f>
        <v>50000</v>
      </c>
      <c r="F25" s="25">
        <v>50000</v>
      </c>
      <c r="G25" s="25">
        <v>0</v>
      </c>
      <c r="H25" s="25">
        <v>0</v>
      </c>
      <c r="I25" s="25">
        <v>0</v>
      </c>
      <c r="J25" s="25">
        <v>200000</v>
      </c>
      <c r="K25" s="27">
        <f aca="true" t="shared" si="4" ref="K25:K30">SUM(L25+Q25+O25+P25)</f>
        <v>800000</v>
      </c>
      <c r="L25" s="25">
        <f aca="true" t="shared" si="5" ref="L25:L30">SUM(M25:N25)</f>
        <v>500000</v>
      </c>
      <c r="M25" s="25">
        <f>300000+200000</f>
        <v>500000</v>
      </c>
      <c r="N25" s="25">
        <v>0</v>
      </c>
      <c r="O25" s="25">
        <v>0</v>
      </c>
      <c r="P25" s="25">
        <v>0</v>
      </c>
      <c r="Q25" s="25">
        <v>300000</v>
      </c>
      <c r="R25" s="27">
        <v>800000</v>
      </c>
      <c r="S25" s="25">
        <v>134.2</v>
      </c>
      <c r="T25" s="44">
        <f t="shared" si="1"/>
        <v>0.00016774999999999998</v>
      </c>
      <c r="U25" s="23" t="s">
        <v>139</v>
      </c>
    </row>
    <row r="26" spans="1:21" ht="40.5" customHeight="1">
      <c r="A26" s="12">
        <v>17</v>
      </c>
      <c r="B26" s="9" t="s">
        <v>35</v>
      </c>
      <c r="C26" s="10" t="s">
        <v>6</v>
      </c>
      <c r="D26" s="10">
        <v>600000</v>
      </c>
      <c r="E26" s="17">
        <f>SUM(F26:G26)</f>
        <v>60000</v>
      </c>
      <c r="F26" s="17">
        <v>60000</v>
      </c>
      <c r="G26" s="17">
        <v>0</v>
      </c>
      <c r="H26" s="17">
        <v>0</v>
      </c>
      <c r="I26" s="17">
        <v>0</v>
      </c>
      <c r="J26" s="17">
        <v>220000</v>
      </c>
      <c r="K26" s="16">
        <f t="shared" si="4"/>
        <v>124000</v>
      </c>
      <c r="L26" s="17">
        <f t="shared" si="5"/>
        <v>124000</v>
      </c>
      <c r="M26" s="17">
        <f>190000-50000-16000</f>
        <v>124000</v>
      </c>
      <c r="N26" s="17">
        <v>0</v>
      </c>
      <c r="O26" s="17">
        <v>0</v>
      </c>
      <c r="P26" s="17">
        <v>0</v>
      </c>
      <c r="Q26" s="17">
        <v>0</v>
      </c>
      <c r="R26" s="27">
        <v>124000</v>
      </c>
      <c r="S26" s="17">
        <v>123203.17</v>
      </c>
      <c r="T26" s="44">
        <f t="shared" si="1"/>
        <v>0.9935739516129032</v>
      </c>
      <c r="U26" s="23" t="s">
        <v>140</v>
      </c>
    </row>
    <row r="27" spans="1:21" s="30" customFormat="1" ht="33" customHeight="1">
      <c r="A27" s="24">
        <v>18</v>
      </c>
      <c r="B27" s="9" t="s">
        <v>76</v>
      </c>
      <c r="C27" s="29" t="s">
        <v>6</v>
      </c>
      <c r="D27" s="29"/>
      <c r="E27" s="25"/>
      <c r="F27" s="25"/>
      <c r="G27" s="25"/>
      <c r="H27" s="25"/>
      <c r="I27" s="25"/>
      <c r="J27" s="25"/>
      <c r="K27" s="27">
        <f t="shared" si="4"/>
        <v>200000</v>
      </c>
      <c r="L27" s="25">
        <f t="shared" si="5"/>
        <v>200000</v>
      </c>
      <c r="M27" s="25">
        <v>200000</v>
      </c>
      <c r="N27" s="25">
        <v>0</v>
      </c>
      <c r="O27" s="25">
        <v>0</v>
      </c>
      <c r="P27" s="25">
        <v>0</v>
      </c>
      <c r="Q27" s="25">
        <v>0</v>
      </c>
      <c r="R27" s="27">
        <v>200000</v>
      </c>
      <c r="S27" s="25">
        <v>21115.76</v>
      </c>
      <c r="T27" s="44">
        <f t="shared" si="1"/>
        <v>0.10557879999999999</v>
      </c>
      <c r="U27" s="23" t="s">
        <v>141</v>
      </c>
    </row>
    <row r="28" spans="1:21" ht="68.25" customHeight="1">
      <c r="A28" s="12">
        <v>19</v>
      </c>
      <c r="B28" s="41" t="s">
        <v>119</v>
      </c>
      <c r="C28" s="10" t="s">
        <v>6</v>
      </c>
      <c r="D28" s="10">
        <v>500000</v>
      </c>
      <c r="E28" s="17">
        <f>SUM(F28+Q28+I28+J28)</f>
        <v>400000</v>
      </c>
      <c r="F28" s="17">
        <v>200000</v>
      </c>
      <c r="G28" s="16">
        <v>0</v>
      </c>
      <c r="H28" s="16" t="e">
        <f>SUM(I28+W28+U28+V28)</f>
        <v>#VALUE!</v>
      </c>
      <c r="I28" s="16">
        <f>SUM(J28+X28+V28+W28)</f>
        <v>0</v>
      </c>
      <c r="J28" s="16">
        <v>0</v>
      </c>
      <c r="K28" s="16">
        <f t="shared" si="4"/>
        <v>300000</v>
      </c>
      <c r="L28" s="17">
        <f t="shared" si="5"/>
        <v>100000</v>
      </c>
      <c r="M28" s="17">
        <v>100000</v>
      </c>
      <c r="N28" s="25">
        <v>0</v>
      </c>
      <c r="O28" s="25">
        <v>0</v>
      </c>
      <c r="P28" s="25">
        <v>0</v>
      </c>
      <c r="Q28" s="17">
        <v>200000</v>
      </c>
      <c r="R28" s="27">
        <v>300000</v>
      </c>
      <c r="S28" s="17">
        <v>0</v>
      </c>
      <c r="T28" s="44">
        <f t="shared" si="1"/>
        <v>0</v>
      </c>
      <c r="U28" s="23" t="s">
        <v>168</v>
      </c>
    </row>
    <row r="29" spans="1:21" ht="36.75" customHeight="1">
      <c r="A29" s="12">
        <v>20</v>
      </c>
      <c r="B29" s="9" t="s">
        <v>26</v>
      </c>
      <c r="C29" s="10" t="s">
        <v>6</v>
      </c>
      <c r="D29" s="10">
        <v>950000</v>
      </c>
      <c r="E29" s="17">
        <f>SUM(F29:G29)</f>
        <v>50000</v>
      </c>
      <c r="F29" s="17">
        <v>50000</v>
      </c>
      <c r="G29" s="17">
        <v>0</v>
      </c>
      <c r="H29" s="17">
        <v>0</v>
      </c>
      <c r="I29" s="17">
        <v>0</v>
      </c>
      <c r="J29" s="17">
        <v>250000</v>
      </c>
      <c r="K29" s="16">
        <f t="shared" si="4"/>
        <v>811000</v>
      </c>
      <c r="L29" s="17">
        <f t="shared" si="5"/>
        <v>811000</v>
      </c>
      <c r="M29" s="17">
        <f>690000+121000</f>
        <v>811000</v>
      </c>
      <c r="N29" s="17">
        <v>0</v>
      </c>
      <c r="O29" s="17">
        <v>0</v>
      </c>
      <c r="P29" s="17">
        <v>0</v>
      </c>
      <c r="Q29" s="17">
        <v>0</v>
      </c>
      <c r="R29" s="27">
        <v>811000</v>
      </c>
      <c r="S29" s="17">
        <v>556628.27</v>
      </c>
      <c r="T29" s="44">
        <f t="shared" si="1"/>
        <v>0.6863480517879161</v>
      </c>
      <c r="U29" s="23" t="s">
        <v>141</v>
      </c>
    </row>
    <row r="30" spans="1:21" ht="33.75" customHeight="1">
      <c r="A30" s="12">
        <v>21</v>
      </c>
      <c r="B30" s="9" t="s">
        <v>120</v>
      </c>
      <c r="C30" s="10" t="s">
        <v>6</v>
      </c>
      <c r="D30" s="10">
        <v>30000</v>
      </c>
      <c r="E30" s="17">
        <f>SUM(F30:G30)</f>
        <v>30000</v>
      </c>
      <c r="F30" s="17">
        <v>30000</v>
      </c>
      <c r="G30" s="17">
        <v>0</v>
      </c>
      <c r="H30" s="17">
        <v>0</v>
      </c>
      <c r="I30" s="17">
        <v>0</v>
      </c>
      <c r="J30" s="17"/>
      <c r="K30" s="16">
        <f t="shared" si="4"/>
        <v>185725</v>
      </c>
      <c r="L30" s="17">
        <f t="shared" si="5"/>
        <v>185725</v>
      </c>
      <c r="M30" s="17">
        <f>80000+105725</f>
        <v>185725</v>
      </c>
      <c r="N30" s="17">
        <v>0</v>
      </c>
      <c r="O30" s="17">
        <v>0</v>
      </c>
      <c r="P30" s="17">
        <v>0</v>
      </c>
      <c r="Q30" s="17">
        <v>0</v>
      </c>
      <c r="R30" s="27">
        <v>185725</v>
      </c>
      <c r="S30" s="17">
        <v>38566.86</v>
      </c>
      <c r="T30" s="44">
        <f t="shared" si="1"/>
        <v>0.20765572755417958</v>
      </c>
      <c r="U30" s="23" t="s">
        <v>142</v>
      </c>
    </row>
    <row r="31" spans="1:21" ht="21" customHeight="1">
      <c r="A31" s="12">
        <v>22</v>
      </c>
      <c r="B31" s="41" t="s">
        <v>31</v>
      </c>
      <c r="C31" s="10" t="s">
        <v>6</v>
      </c>
      <c r="D31" s="18">
        <v>250000</v>
      </c>
      <c r="E31" s="17">
        <f>SUM(F31:G31)</f>
        <v>250000</v>
      </c>
      <c r="F31" s="17">
        <v>250000</v>
      </c>
      <c r="G31" s="17">
        <v>0</v>
      </c>
      <c r="H31" s="17">
        <v>0</v>
      </c>
      <c r="I31" s="17">
        <v>0</v>
      </c>
      <c r="J31" s="17">
        <v>0</v>
      </c>
      <c r="K31" s="16">
        <f>SUM(L31+Q31+O31+P31)</f>
        <v>200000</v>
      </c>
      <c r="L31" s="17">
        <f>SUM(M31:N31)</f>
        <v>200000</v>
      </c>
      <c r="M31" s="17">
        <v>200000</v>
      </c>
      <c r="N31" s="17">
        <v>0</v>
      </c>
      <c r="O31" s="17">
        <v>0</v>
      </c>
      <c r="P31" s="17">
        <v>0</v>
      </c>
      <c r="Q31" s="17">
        <v>0</v>
      </c>
      <c r="R31" s="27">
        <v>200000</v>
      </c>
      <c r="S31" s="17">
        <v>0</v>
      </c>
      <c r="T31" s="44">
        <f t="shared" si="1"/>
        <v>0</v>
      </c>
      <c r="U31" s="23" t="s">
        <v>185</v>
      </c>
    </row>
    <row r="32" spans="1:21" ht="31.5" customHeight="1">
      <c r="A32" s="12">
        <v>23</v>
      </c>
      <c r="B32" s="9" t="s">
        <v>22</v>
      </c>
      <c r="C32" s="10" t="s">
        <v>6</v>
      </c>
      <c r="D32" s="10">
        <v>1200000</v>
      </c>
      <c r="E32" s="17">
        <f aca="true" t="shared" si="6" ref="E32:E45">SUM(F32:G32)</f>
        <v>100000</v>
      </c>
      <c r="F32" s="17">
        <v>100000</v>
      </c>
      <c r="G32" s="17">
        <v>0</v>
      </c>
      <c r="H32" s="17">
        <v>0</v>
      </c>
      <c r="I32" s="17">
        <v>0</v>
      </c>
      <c r="J32" s="17">
        <v>600000</v>
      </c>
      <c r="K32" s="16">
        <f>SUM(L32+Q32+O32+P32)</f>
        <v>1213000</v>
      </c>
      <c r="L32" s="17">
        <f>SUM(M32:N32)</f>
        <v>313000</v>
      </c>
      <c r="M32" s="17">
        <f>300000+13000</f>
        <v>313000</v>
      </c>
      <c r="N32" s="17">
        <v>0</v>
      </c>
      <c r="O32" s="17">
        <v>0</v>
      </c>
      <c r="P32" s="17">
        <v>0</v>
      </c>
      <c r="Q32" s="17">
        <v>900000</v>
      </c>
      <c r="R32" s="27">
        <v>1213000</v>
      </c>
      <c r="S32" s="17">
        <v>917442.09</v>
      </c>
      <c r="T32" s="44">
        <f t="shared" si="1"/>
        <v>0.7563413767518549</v>
      </c>
      <c r="U32" s="23" t="s">
        <v>143</v>
      </c>
    </row>
    <row r="33" spans="1:21" ht="37.5" customHeight="1">
      <c r="A33" s="12">
        <v>24</v>
      </c>
      <c r="B33" s="9" t="s">
        <v>64</v>
      </c>
      <c r="C33" s="10" t="s">
        <v>6</v>
      </c>
      <c r="D33" s="10">
        <v>315000</v>
      </c>
      <c r="E33" s="17">
        <f t="shared" si="6"/>
        <v>40000</v>
      </c>
      <c r="F33" s="17">
        <v>40000</v>
      </c>
      <c r="G33" s="17">
        <v>0</v>
      </c>
      <c r="H33" s="17">
        <v>0</v>
      </c>
      <c r="I33" s="17">
        <v>0</v>
      </c>
      <c r="J33" s="17">
        <v>100000</v>
      </c>
      <c r="K33" s="16">
        <f aca="true" t="shared" si="7" ref="K33:K56">SUM(L33+Q33+O33+P33)</f>
        <v>128000</v>
      </c>
      <c r="L33" s="17">
        <f>SUM(M33:N33)</f>
        <v>128000</v>
      </c>
      <c r="M33" s="17">
        <f>200000-60000-12000</f>
        <v>128000</v>
      </c>
      <c r="N33" s="17">
        <v>0</v>
      </c>
      <c r="O33" s="17">
        <v>0</v>
      </c>
      <c r="P33" s="17">
        <v>0</v>
      </c>
      <c r="Q33" s="17">
        <v>0</v>
      </c>
      <c r="R33" s="27">
        <v>128000</v>
      </c>
      <c r="S33" s="17">
        <v>124328.41</v>
      </c>
      <c r="T33" s="44">
        <f t="shared" si="1"/>
        <v>0.971315703125</v>
      </c>
      <c r="U33" s="23" t="s">
        <v>144</v>
      </c>
    </row>
    <row r="34" spans="1:21" ht="42.75" customHeight="1">
      <c r="A34" s="12">
        <v>25</v>
      </c>
      <c r="B34" s="41" t="s">
        <v>54</v>
      </c>
      <c r="C34" s="10" t="s">
        <v>6</v>
      </c>
      <c r="D34" s="10">
        <v>100000</v>
      </c>
      <c r="E34" s="17">
        <f t="shared" si="6"/>
        <v>100000</v>
      </c>
      <c r="F34" s="17">
        <v>100000</v>
      </c>
      <c r="G34" s="17">
        <v>0</v>
      </c>
      <c r="H34" s="17">
        <v>0</v>
      </c>
      <c r="I34" s="17">
        <v>0</v>
      </c>
      <c r="J34" s="17">
        <v>0</v>
      </c>
      <c r="K34" s="16">
        <f t="shared" si="7"/>
        <v>0</v>
      </c>
      <c r="L34" s="17">
        <f>SUM(M34:N34)</f>
        <v>0</v>
      </c>
      <c r="M34" s="17">
        <f>200000+500000-700000</f>
        <v>0</v>
      </c>
      <c r="N34" s="17">
        <v>0</v>
      </c>
      <c r="O34" s="17">
        <v>0</v>
      </c>
      <c r="P34" s="17">
        <v>0</v>
      </c>
      <c r="Q34" s="17">
        <v>0</v>
      </c>
      <c r="R34" s="27">
        <v>700000</v>
      </c>
      <c r="S34" s="17">
        <v>0</v>
      </c>
      <c r="T34" s="44">
        <v>0</v>
      </c>
      <c r="U34" s="23" t="s">
        <v>200</v>
      </c>
    </row>
    <row r="35" spans="1:21" ht="36.75" customHeight="1">
      <c r="A35" s="12">
        <v>26</v>
      </c>
      <c r="B35" s="9" t="s">
        <v>30</v>
      </c>
      <c r="C35" s="10" t="s">
        <v>6</v>
      </c>
      <c r="D35" s="10">
        <v>170000</v>
      </c>
      <c r="E35" s="17">
        <f>SUM(F35+Q35+I35+J35)</f>
        <v>100000</v>
      </c>
      <c r="F35" s="17">
        <v>100000</v>
      </c>
      <c r="G35" s="16" t="e">
        <f>SUM(H35+V35+Q35+U35)</f>
        <v>#VALUE!</v>
      </c>
      <c r="H35" s="16" t="e">
        <f>SUM(I35+W35+U35+V35)</f>
        <v>#VALUE!</v>
      </c>
      <c r="I35" s="16">
        <f>SUM(J35+X35+V35+W35)</f>
        <v>0</v>
      </c>
      <c r="J35" s="16">
        <f>SUM(Q35+Y35+W35+X35)</f>
        <v>0</v>
      </c>
      <c r="K35" s="16">
        <f t="shared" si="7"/>
        <v>108420</v>
      </c>
      <c r="L35" s="17">
        <f>SUM(M35+AB35+P35+Q35)</f>
        <v>108420</v>
      </c>
      <c r="M35" s="17">
        <f>30000+78420</f>
        <v>108420</v>
      </c>
      <c r="N35" s="25">
        <v>0</v>
      </c>
      <c r="O35" s="25">
        <f>SUM(P35+AE35+AC35+AD35)</f>
        <v>0</v>
      </c>
      <c r="P35" s="25">
        <f>SUM(Q35+AF35+AD35+AE35)</f>
        <v>0</v>
      </c>
      <c r="Q35" s="25">
        <v>0</v>
      </c>
      <c r="R35" s="27">
        <v>108420</v>
      </c>
      <c r="S35" s="25">
        <v>30000</v>
      </c>
      <c r="T35" s="44">
        <f t="shared" si="1"/>
        <v>0.27670171555063644</v>
      </c>
      <c r="U35" s="23" t="s">
        <v>141</v>
      </c>
    </row>
    <row r="36" spans="1:21" ht="38.25" customHeight="1">
      <c r="A36" s="12">
        <v>27</v>
      </c>
      <c r="B36" s="9" t="s">
        <v>65</v>
      </c>
      <c r="C36" s="10" t="s">
        <v>6</v>
      </c>
      <c r="D36" s="10">
        <v>921690</v>
      </c>
      <c r="E36" s="17">
        <f t="shared" si="6"/>
        <v>322592</v>
      </c>
      <c r="F36" s="17">
        <v>322592</v>
      </c>
      <c r="G36" s="17">
        <v>0</v>
      </c>
      <c r="H36" s="17">
        <v>599098</v>
      </c>
      <c r="I36" s="17">
        <v>0</v>
      </c>
      <c r="J36" s="17">
        <v>0</v>
      </c>
      <c r="K36" s="16">
        <f t="shared" si="7"/>
        <v>400000</v>
      </c>
      <c r="L36" s="17">
        <f aca="true" t="shared" si="8" ref="L36:L46">SUM(M36:N36)</f>
        <v>100000</v>
      </c>
      <c r="M36" s="17">
        <v>100000</v>
      </c>
      <c r="N36" s="17">
        <v>0</v>
      </c>
      <c r="O36" s="17">
        <v>0</v>
      </c>
      <c r="P36" s="17">
        <v>0</v>
      </c>
      <c r="Q36" s="25">
        <v>300000</v>
      </c>
      <c r="R36" s="27">
        <v>400000</v>
      </c>
      <c r="S36" s="25">
        <v>386011.73</v>
      </c>
      <c r="T36" s="44">
        <f t="shared" si="1"/>
        <v>0.9650293249999999</v>
      </c>
      <c r="U36" s="23" t="s">
        <v>144</v>
      </c>
    </row>
    <row r="37" spans="1:21" s="30" customFormat="1" ht="26.25" customHeight="1">
      <c r="A37" s="24">
        <v>28</v>
      </c>
      <c r="B37" s="9" t="s">
        <v>27</v>
      </c>
      <c r="C37" s="29" t="s">
        <v>6</v>
      </c>
      <c r="D37" s="29">
        <v>1350000</v>
      </c>
      <c r="E37" s="25">
        <f t="shared" si="6"/>
        <v>60000</v>
      </c>
      <c r="F37" s="25">
        <v>60000</v>
      </c>
      <c r="G37" s="25">
        <v>0</v>
      </c>
      <c r="H37" s="25">
        <v>0</v>
      </c>
      <c r="I37" s="25">
        <v>0</v>
      </c>
      <c r="J37" s="25">
        <v>350000</v>
      </c>
      <c r="K37" s="27">
        <f t="shared" si="7"/>
        <v>960000</v>
      </c>
      <c r="L37" s="25">
        <f t="shared" si="8"/>
        <v>360000</v>
      </c>
      <c r="M37" s="25">
        <f>210000+150000</f>
        <v>360000</v>
      </c>
      <c r="N37" s="25">
        <v>0</v>
      </c>
      <c r="O37" s="25">
        <v>0</v>
      </c>
      <c r="P37" s="25">
        <v>0</v>
      </c>
      <c r="Q37" s="25">
        <v>600000</v>
      </c>
      <c r="R37" s="27">
        <v>960000</v>
      </c>
      <c r="S37" s="25">
        <v>686444</v>
      </c>
      <c r="T37" s="44">
        <f t="shared" si="1"/>
        <v>0.7150458333333334</v>
      </c>
      <c r="U37" s="23" t="s">
        <v>145</v>
      </c>
    </row>
    <row r="38" spans="1:21" ht="21.75" customHeight="1">
      <c r="A38" s="12">
        <v>29</v>
      </c>
      <c r="B38" s="41" t="s">
        <v>21</v>
      </c>
      <c r="C38" s="10" t="s">
        <v>6</v>
      </c>
      <c r="D38" s="10">
        <v>81000</v>
      </c>
      <c r="E38" s="17">
        <f t="shared" si="6"/>
        <v>81000</v>
      </c>
      <c r="F38" s="17">
        <v>81000</v>
      </c>
      <c r="G38" s="17">
        <v>0</v>
      </c>
      <c r="H38" s="17">
        <v>0</v>
      </c>
      <c r="I38" s="17">
        <v>0</v>
      </c>
      <c r="J38" s="17">
        <v>0</v>
      </c>
      <c r="K38" s="16">
        <f t="shared" si="7"/>
        <v>81000</v>
      </c>
      <c r="L38" s="17">
        <f t="shared" si="8"/>
        <v>81000</v>
      </c>
      <c r="M38" s="17">
        <v>81000</v>
      </c>
      <c r="N38" s="17">
        <v>0</v>
      </c>
      <c r="O38" s="17">
        <v>0</v>
      </c>
      <c r="P38" s="17">
        <v>0</v>
      </c>
      <c r="Q38" s="17">
        <v>0</v>
      </c>
      <c r="R38" s="27">
        <v>81000</v>
      </c>
      <c r="S38" s="17">
        <v>0</v>
      </c>
      <c r="T38" s="44">
        <f t="shared" si="1"/>
        <v>0</v>
      </c>
      <c r="U38" s="23" t="s">
        <v>185</v>
      </c>
    </row>
    <row r="39" spans="1:21" ht="30" customHeight="1">
      <c r="A39" s="12">
        <v>30</v>
      </c>
      <c r="B39" s="9" t="s">
        <v>72</v>
      </c>
      <c r="C39" s="10" t="s">
        <v>6</v>
      </c>
      <c r="D39" s="10">
        <v>2350000</v>
      </c>
      <c r="E39" s="17">
        <f>SUM(F39:G39)</f>
        <v>750000</v>
      </c>
      <c r="F39" s="17">
        <v>750000</v>
      </c>
      <c r="G39" s="17">
        <v>0</v>
      </c>
      <c r="H39" s="17">
        <v>0</v>
      </c>
      <c r="I39" s="17">
        <v>0</v>
      </c>
      <c r="J39" s="17">
        <v>0</v>
      </c>
      <c r="K39" s="16">
        <f>SUM(L39+Q39+O39+P39)</f>
        <v>260000</v>
      </c>
      <c r="L39" s="17">
        <f>SUM(M39:N39)</f>
        <v>260000</v>
      </c>
      <c r="M39" s="17">
        <v>260000</v>
      </c>
      <c r="N39" s="17">
        <v>0</v>
      </c>
      <c r="O39" s="17">
        <v>0</v>
      </c>
      <c r="P39" s="17">
        <v>0</v>
      </c>
      <c r="Q39" s="17">
        <v>0</v>
      </c>
      <c r="R39" s="27">
        <v>260000</v>
      </c>
      <c r="S39" s="17">
        <v>3347.4</v>
      </c>
      <c r="T39" s="44">
        <f t="shared" si="1"/>
        <v>0.012874615384615385</v>
      </c>
      <c r="U39" s="23" t="s">
        <v>146</v>
      </c>
    </row>
    <row r="40" spans="1:21" ht="32.25" customHeight="1">
      <c r="A40" s="12">
        <v>31</v>
      </c>
      <c r="B40" s="9" t="s">
        <v>121</v>
      </c>
      <c r="C40" s="10" t="s">
        <v>9</v>
      </c>
      <c r="D40" s="10">
        <v>600000</v>
      </c>
      <c r="E40" s="17">
        <f t="shared" si="6"/>
        <v>100000</v>
      </c>
      <c r="F40" s="17">
        <v>100000</v>
      </c>
      <c r="G40" s="17">
        <v>0</v>
      </c>
      <c r="H40" s="17">
        <v>0</v>
      </c>
      <c r="I40" s="17">
        <v>0</v>
      </c>
      <c r="J40" s="17">
        <v>500000</v>
      </c>
      <c r="K40" s="16">
        <f>SUM(L40+Q40+O40+P40)</f>
        <v>424000</v>
      </c>
      <c r="L40" s="17">
        <f>SUM(M40:N40)</f>
        <v>424000</v>
      </c>
      <c r="M40" s="17">
        <f>500000-76000</f>
        <v>424000</v>
      </c>
      <c r="N40" s="17">
        <v>0</v>
      </c>
      <c r="O40" s="17">
        <v>0</v>
      </c>
      <c r="P40" s="17">
        <v>0</v>
      </c>
      <c r="Q40" s="17">
        <f>300000-300000</f>
        <v>0</v>
      </c>
      <c r="R40" s="27">
        <v>424000</v>
      </c>
      <c r="S40" s="17">
        <v>423694.54</v>
      </c>
      <c r="T40" s="44">
        <f t="shared" si="1"/>
        <v>0.9992795754716981</v>
      </c>
      <c r="U40" s="23" t="s">
        <v>144</v>
      </c>
    </row>
    <row r="41" spans="1:21" ht="39" customHeight="1">
      <c r="A41" s="12">
        <v>32</v>
      </c>
      <c r="B41" s="9" t="s">
        <v>52</v>
      </c>
      <c r="C41" s="10" t="s">
        <v>9</v>
      </c>
      <c r="D41" s="10"/>
      <c r="E41" s="17"/>
      <c r="F41" s="17"/>
      <c r="G41" s="17"/>
      <c r="H41" s="17"/>
      <c r="I41" s="17"/>
      <c r="J41" s="17"/>
      <c r="K41" s="16">
        <f>SUM(L41+Q41+O41+P41)</f>
        <v>628000</v>
      </c>
      <c r="L41" s="17">
        <f>SUM(M41:N41)</f>
        <v>628000</v>
      </c>
      <c r="M41" s="17">
        <f>150000+450000+28000</f>
        <v>628000</v>
      </c>
      <c r="N41" s="17">
        <v>0</v>
      </c>
      <c r="O41" s="17">
        <v>0</v>
      </c>
      <c r="P41" s="17">
        <v>0</v>
      </c>
      <c r="Q41" s="17">
        <v>0</v>
      </c>
      <c r="R41" s="27">
        <v>628000</v>
      </c>
      <c r="S41" s="17">
        <v>56753.6</v>
      </c>
      <c r="T41" s="44">
        <f t="shared" si="1"/>
        <v>0.090371974522293</v>
      </c>
      <c r="U41" s="23" t="s">
        <v>145</v>
      </c>
    </row>
    <row r="42" spans="1:21" s="30" customFormat="1" ht="25.5" customHeight="1">
      <c r="A42" s="24">
        <v>33</v>
      </c>
      <c r="B42" s="36" t="s">
        <v>51</v>
      </c>
      <c r="C42" s="29" t="s">
        <v>9</v>
      </c>
      <c r="D42" s="23">
        <v>2140000</v>
      </c>
      <c r="E42" s="25">
        <f t="shared" si="6"/>
        <v>160000</v>
      </c>
      <c r="F42" s="25">
        <v>160000</v>
      </c>
      <c r="G42" s="25">
        <v>0</v>
      </c>
      <c r="H42" s="25">
        <v>0</v>
      </c>
      <c r="I42" s="25">
        <v>0</v>
      </c>
      <c r="J42" s="25">
        <v>900000</v>
      </c>
      <c r="K42" s="27">
        <f t="shared" si="7"/>
        <v>1145000</v>
      </c>
      <c r="L42" s="25">
        <f t="shared" si="8"/>
        <v>605000</v>
      </c>
      <c r="M42" s="25">
        <v>605000</v>
      </c>
      <c r="N42" s="25">
        <v>0</v>
      </c>
      <c r="O42" s="25">
        <v>0</v>
      </c>
      <c r="P42" s="25">
        <v>0</v>
      </c>
      <c r="Q42" s="25">
        <v>540000</v>
      </c>
      <c r="R42" s="27">
        <v>1145000</v>
      </c>
      <c r="S42" s="25">
        <v>831931.78</v>
      </c>
      <c r="T42" s="44">
        <f t="shared" si="1"/>
        <v>0.7265779737991267</v>
      </c>
      <c r="U42" s="23" t="s">
        <v>144</v>
      </c>
    </row>
    <row r="43" spans="1:21" ht="23.25" customHeight="1">
      <c r="A43" s="12">
        <v>34</v>
      </c>
      <c r="B43" s="41" t="s">
        <v>46</v>
      </c>
      <c r="C43" s="10" t="s">
        <v>8</v>
      </c>
      <c r="D43" s="10">
        <v>210000</v>
      </c>
      <c r="E43" s="17">
        <f t="shared" si="6"/>
        <v>135000</v>
      </c>
      <c r="F43" s="17">
        <v>135000</v>
      </c>
      <c r="G43" s="17">
        <v>0</v>
      </c>
      <c r="H43" s="17">
        <v>0</v>
      </c>
      <c r="I43" s="17">
        <v>0</v>
      </c>
      <c r="J43" s="17">
        <v>0</v>
      </c>
      <c r="K43" s="16">
        <f t="shared" si="7"/>
        <v>100000</v>
      </c>
      <c r="L43" s="17">
        <f t="shared" si="8"/>
        <v>100000</v>
      </c>
      <c r="M43" s="17">
        <v>100000</v>
      </c>
      <c r="N43" s="17">
        <v>0</v>
      </c>
      <c r="O43" s="17">
        <v>0</v>
      </c>
      <c r="P43" s="17">
        <v>0</v>
      </c>
      <c r="Q43" s="17">
        <v>0</v>
      </c>
      <c r="R43" s="27">
        <v>100000</v>
      </c>
      <c r="S43" s="17">
        <v>0</v>
      </c>
      <c r="T43" s="44">
        <f t="shared" si="1"/>
        <v>0</v>
      </c>
      <c r="U43" s="51" t="s">
        <v>185</v>
      </c>
    </row>
    <row r="44" spans="1:21" ht="34.5" customHeight="1">
      <c r="A44" s="12">
        <v>35</v>
      </c>
      <c r="B44" s="9" t="s">
        <v>122</v>
      </c>
      <c r="C44" s="10" t="s">
        <v>8</v>
      </c>
      <c r="D44" s="10"/>
      <c r="E44" s="17"/>
      <c r="F44" s="17"/>
      <c r="G44" s="17"/>
      <c r="H44" s="17"/>
      <c r="I44" s="17"/>
      <c r="J44" s="17"/>
      <c r="K44" s="16">
        <f t="shared" si="7"/>
        <v>100000</v>
      </c>
      <c r="L44" s="17">
        <f t="shared" si="8"/>
        <v>100000</v>
      </c>
      <c r="M44" s="17">
        <v>100000</v>
      </c>
      <c r="N44" s="17"/>
      <c r="O44" s="17"/>
      <c r="P44" s="17"/>
      <c r="Q44" s="17"/>
      <c r="R44" s="27">
        <v>100000</v>
      </c>
      <c r="S44" s="17">
        <v>0</v>
      </c>
      <c r="T44" s="44">
        <f t="shared" si="1"/>
        <v>0</v>
      </c>
      <c r="U44" s="23" t="s">
        <v>186</v>
      </c>
    </row>
    <row r="45" spans="1:21" ht="21" customHeight="1">
      <c r="A45" s="12">
        <v>36</v>
      </c>
      <c r="B45" s="41" t="s">
        <v>32</v>
      </c>
      <c r="C45" s="10" t="s">
        <v>18</v>
      </c>
      <c r="D45" s="10">
        <v>30000</v>
      </c>
      <c r="E45" s="17">
        <f t="shared" si="6"/>
        <v>10000</v>
      </c>
      <c r="F45" s="17">
        <v>10000</v>
      </c>
      <c r="G45" s="17">
        <v>0</v>
      </c>
      <c r="H45" s="17">
        <v>0</v>
      </c>
      <c r="I45" s="17">
        <v>0</v>
      </c>
      <c r="J45" s="17">
        <v>0</v>
      </c>
      <c r="K45" s="16">
        <f>SUM(L45+Q47+O45+P45)</f>
        <v>20000</v>
      </c>
      <c r="L45" s="17">
        <f t="shared" si="8"/>
        <v>20000</v>
      </c>
      <c r="M45" s="17">
        <v>20000</v>
      </c>
      <c r="N45" s="17">
        <v>0</v>
      </c>
      <c r="O45" s="17">
        <v>0</v>
      </c>
      <c r="P45" s="17">
        <v>0</v>
      </c>
      <c r="Q45" s="17">
        <v>0</v>
      </c>
      <c r="R45" s="27">
        <v>20000</v>
      </c>
      <c r="S45" s="17">
        <v>0</v>
      </c>
      <c r="T45" s="44">
        <f t="shared" si="1"/>
        <v>0</v>
      </c>
      <c r="U45" s="51" t="s">
        <v>185</v>
      </c>
    </row>
    <row r="46" spans="1:21" ht="36.75" customHeight="1">
      <c r="A46" s="12">
        <v>37</v>
      </c>
      <c r="B46" s="41" t="s">
        <v>68</v>
      </c>
      <c r="C46" s="10" t="s">
        <v>67</v>
      </c>
      <c r="D46" s="10"/>
      <c r="E46" s="17"/>
      <c r="F46" s="17"/>
      <c r="G46" s="17"/>
      <c r="H46" s="17"/>
      <c r="I46" s="17"/>
      <c r="J46" s="17"/>
      <c r="K46" s="16">
        <f>SUM(L46+Q48+O46+P46)</f>
        <v>20000</v>
      </c>
      <c r="L46" s="17">
        <f t="shared" si="8"/>
        <v>20000</v>
      </c>
      <c r="M46" s="17">
        <v>20000</v>
      </c>
      <c r="N46" s="17">
        <v>0</v>
      </c>
      <c r="O46" s="17">
        <v>0</v>
      </c>
      <c r="P46" s="17">
        <v>0</v>
      </c>
      <c r="Q46" s="17">
        <v>0</v>
      </c>
      <c r="R46" s="27">
        <v>20000</v>
      </c>
      <c r="S46" s="17">
        <v>0</v>
      </c>
      <c r="T46" s="44">
        <f t="shared" si="1"/>
        <v>0</v>
      </c>
      <c r="U46" s="51" t="s">
        <v>185</v>
      </c>
    </row>
    <row r="47" spans="1:21" ht="34.5" customHeight="1">
      <c r="A47" s="12">
        <v>38</v>
      </c>
      <c r="B47" s="9" t="s">
        <v>40</v>
      </c>
      <c r="C47" s="10" t="s">
        <v>20</v>
      </c>
      <c r="D47" s="10">
        <v>900000</v>
      </c>
      <c r="E47" s="17">
        <f aca="true" t="shared" si="9" ref="E47:E56">SUM(F47:G47)</f>
        <v>173000</v>
      </c>
      <c r="F47" s="17">
        <v>173000</v>
      </c>
      <c r="G47" s="17">
        <v>0</v>
      </c>
      <c r="H47" s="17">
        <v>0</v>
      </c>
      <c r="I47" s="17">
        <v>0</v>
      </c>
      <c r="J47" s="17">
        <v>100000</v>
      </c>
      <c r="K47" s="16">
        <f>SUM(L47++O47+P47+Q47)</f>
        <v>1650000</v>
      </c>
      <c r="L47" s="25">
        <f aca="true" t="shared" si="10" ref="L47:L56">SUM(M47:N47)</f>
        <v>1650000</v>
      </c>
      <c r="M47" s="25">
        <f>1000000+450000+200000</f>
        <v>1650000</v>
      </c>
      <c r="N47" s="17">
        <v>0</v>
      </c>
      <c r="O47" s="17">
        <v>0</v>
      </c>
      <c r="P47" s="17">
        <v>0</v>
      </c>
      <c r="Q47" s="17">
        <v>0</v>
      </c>
      <c r="R47" s="27">
        <v>1650000</v>
      </c>
      <c r="S47" s="17">
        <v>412329.12</v>
      </c>
      <c r="T47" s="44">
        <f t="shared" si="1"/>
        <v>0.24989643636363637</v>
      </c>
      <c r="U47" s="23" t="s">
        <v>147</v>
      </c>
    </row>
    <row r="48" spans="1:21" ht="36.75" customHeight="1">
      <c r="A48" s="12">
        <v>39</v>
      </c>
      <c r="B48" s="9" t="s">
        <v>79</v>
      </c>
      <c r="C48" s="10" t="s">
        <v>19</v>
      </c>
      <c r="D48" s="10">
        <v>40000</v>
      </c>
      <c r="E48" s="17">
        <f t="shared" si="9"/>
        <v>130000</v>
      </c>
      <c r="F48" s="17">
        <v>130000</v>
      </c>
      <c r="G48" s="17">
        <v>0</v>
      </c>
      <c r="H48" s="17">
        <v>0</v>
      </c>
      <c r="I48" s="17">
        <v>0</v>
      </c>
      <c r="J48" s="17">
        <v>0</v>
      </c>
      <c r="K48" s="16">
        <f t="shared" si="7"/>
        <v>372100</v>
      </c>
      <c r="L48" s="17">
        <f t="shared" si="10"/>
        <v>372100</v>
      </c>
      <c r="M48" s="17">
        <f>300000+72100</f>
        <v>372100</v>
      </c>
      <c r="N48" s="17">
        <v>0</v>
      </c>
      <c r="O48" s="17">
        <v>0</v>
      </c>
      <c r="P48" s="17">
        <v>0</v>
      </c>
      <c r="Q48" s="17">
        <v>0</v>
      </c>
      <c r="R48" s="27">
        <v>372000</v>
      </c>
      <c r="S48" s="17">
        <v>25498</v>
      </c>
      <c r="T48" s="44">
        <f t="shared" si="1"/>
        <v>0.06854301075268818</v>
      </c>
      <c r="U48" s="23" t="s">
        <v>148</v>
      </c>
    </row>
    <row r="49" spans="1:21" ht="30.75" customHeight="1">
      <c r="A49" s="12">
        <v>40</v>
      </c>
      <c r="B49" s="9" t="s">
        <v>80</v>
      </c>
      <c r="C49" s="10" t="s">
        <v>19</v>
      </c>
      <c r="D49" s="10"/>
      <c r="E49" s="17"/>
      <c r="F49" s="17"/>
      <c r="G49" s="17"/>
      <c r="H49" s="17"/>
      <c r="I49" s="17"/>
      <c r="J49" s="17"/>
      <c r="K49" s="16">
        <f t="shared" si="7"/>
        <v>400000</v>
      </c>
      <c r="L49" s="17">
        <f t="shared" si="10"/>
        <v>400000</v>
      </c>
      <c r="M49" s="17">
        <f>250000+150000</f>
        <v>400000</v>
      </c>
      <c r="N49" s="17">
        <v>0</v>
      </c>
      <c r="O49" s="17">
        <v>0</v>
      </c>
      <c r="P49" s="17">
        <v>0</v>
      </c>
      <c r="Q49" s="17">
        <v>0</v>
      </c>
      <c r="R49" s="27">
        <v>400000</v>
      </c>
      <c r="S49" s="17">
        <v>223283.53</v>
      </c>
      <c r="T49" s="44">
        <f t="shared" si="1"/>
        <v>0.558208825</v>
      </c>
      <c r="U49" s="23" t="s">
        <v>176</v>
      </c>
    </row>
    <row r="50" spans="1:21" ht="40.5" customHeight="1">
      <c r="A50" s="12">
        <v>41</v>
      </c>
      <c r="B50" s="9" t="s">
        <v>123</v>
      </c>
      <c r="C50" s="10" t="s">
        <v>19</v>
      </c>
      <c r="D50" s="10">
        <v>70000</v>
      </c>
      <c r="E50" s="17">
        <f t="shared" si="9"/>
        <v>50000</v>
      </c>
      <c r="F50" s="17">
        <v>50000</v>
      </c>
      <c r="G50" s="17">
        <v>0</v>
      </c>
      <c r="H50" s="17">
        <v>0</v>
      </c>
      <c r="I50" s="17">
        <v>0</v>
      </c>
      <c r="J50" s="17">
        <v>0</v>
      </c>
      <c r="K50" s="16">
        <f t="shared" si="7"/>
        <v>100000</v>
      </c>
      <c r="L50" s="17">
        <f t="shared" si="10"/>
        <v>100000</v>
      </c>
      <c r="M50" s="17">
        <f>150000-50000</f>
        <v>100000</v>
      </c>
      <c r="N50" s="17">
        <v>0</v>
      </c>
      <c r="O50" s="17">
        <v>0</v>
      </c>
      <c r="P50" s="17">
        <v>0</v>
      </c>
      <c r="Q50" s="17">
        <f>100000-100000</f>
        <v>0</v>
      </c>
      <c r="R50" s="27">
        <v>100000</v>
      </c>
      <c r="S50" s="17">
        <v>70281.37</v>
      </c>
      <c r="T50" s="44">
        <f t="shared" si="1"/>
        <v>0.7028137</v>
      </c>
      <c r="U50" s="23" t="s">
        <v>177</v>
      </c>
    </row>
    <row r="51" spans="1:21" s="30" customFormat="1" ht="26.25" customHeight="1">
      <c r="A51" s="24">
        <v>42</v>
      </c>
      <c r="B51" s="9" t="s">
        <v>81</v>
      </c>
      <c r="C51" s="29" t="s">
        <v>19</v>
      </c>
      <c r="D51" s="29">
        <v>50000</v>
      </c>
      <c r="E51" s="25">
        <f t="shared" si="9"/>
        <v>25000</v>
      </c>
      <c r="F51" s="25">
        <v>25000</v>
      </c>
      <c r="G51" s="25">
        <v>0</v>
      </c>
      <c r="H51" s="25">
        <v>0</v>
      </c>
      <c r="I51" s="25">
        <v>0</v>
      </c>
      <c r="J51" s="25">
        <v>0</v>
      </c>
      <c r="K51" s="27">
        <f t="shared" si="7"/>
        <v>50000</v>
      </c>
      <c r="L51" s="25">
        <f t="shared" si="10"/>
        <v>50000</v>
      </c>
      <c r="M51" s="25">
        <f>150000-100000</f>
        <v>50000</v>
      </c>
      <c r="N51" s="25">
        <v>0</v>
      </c>
      <c r="O51" s="25">
        <v>0</v>
      </c>
      <c r="P51" s="25">
        <v>0</v>
      </c>
      <c r="Q51" s="25">
        <v>0</v>
      </c>
      <c r="R51" s="27">
        <v>50000</v>
      </c>
      <c r="S51" s="25">
        <v>0</v>
      </c>
      <c r="T51" s="44">
        <f t="shared" si="1"/>
        <v>0</v>
      </c>
      <c r="U51" s="23" t="s">
        <v>149</v>
      </c>
    </row>
    <row r="52" spans="1:21" ht="40.5" customHeight="1">
      <c r="A52" s="12">
        <v>43</v>
      </c>
      <c r="B52" s="9" t="s">
        <v>124</v>
      </c>
      <c r="C52" s="10" t="s">
        <v>19</v>
      </c>
      <c r="D52" s="10">
        <v>5000</v>
      </c>
      <c r="E52" s="17">
        <f t="shared" si="9"/>
        <v>5000</v>
      </c>
      <c r="F52" s="17">
        <v>5000</v>
      </c>
      <c r="G52" s="17">
        <v>0</v>
      </c>
      <c r="H52" s="17">
        <v>0</v>
      </c>
      <c r="I52" s="17">
        <v>0</v>
      </c>
      <c r="J52" s="17">
        <v>0</v>
      </c>
      <c r="K52" s="16">
        <f t="shared" si="7"/>
        <v>20000</v>
      </c>
      <c r="L52" s="17">
        <f t="shared" si="10"/>
        <v>20000</v>
      </c>
      <c r="M52" s="17">
        <v>20000</v>
      </c>
      <c r="N52" s="17">
        <v>0</v>
      </c>
      <c r="O52" s="17">
        <v>0</v>
      </c>
      <c r="P52" s="17">
        <v>0</v>
      </c>
      <c r="Q52" s="17">
        <v>0</v>
      </c>
      <c r="R52" s="27">
        <v>20000</v>
      </c>
      <c r="S52" s="17">
        <v>0</v>
      </c>
      <c r="T52" s="44">
        <f t="shared" si="1"/>
        <v>0</v>
      </c>
      <c r="U52" s="23" t="s">
        <v>172</v>
      </c>
    </row>
    <row r="53" spans="1:21" ht="18" customHeight="1">
      <c r="A53" s="12">
        <v>44</v>
      </c>
      <c r="B53" s="9" t="s">
        <v>82</v>
      </c>
      <c r="C53" s="10" t="s">
        <v>19</v>
      </c>
      <c r="D53" s="10"/>
      <c r="E53" s="17"/>
      <c r="F53" s="17"/>
      <c r="G53" s="17"/>
      <c r="H53" s="17"/>
      <c r="I53" s="17"/>
      <c r="J53" s="17"/>
      <c r="K53" s="16">
        <f t="shared" si="7"/>
        <v>10000</v>
      </c>
      <c r="L53" s="17">
        <f t="shared" si="10"/>
        <v>10000</v>
      </c>
      <c r="M53" s="17">
        <f>25000-15000</f>
        <v>10000</v>
      </c>
      <c r="N53" s="17"/>
      <c r="O53" s="17"/>
      <c r="P53" s="17"/>
      <c r="Q53" s="17"/>
      <c r="R53" s="27">
        <v>10000</v>
      </c>
      <c r="S53" s="17">
        <v>0</v>
      </c>
      <c r="T53" s="44">
        <f t="shared" si="1"/>
        <v>0</v>
      </c>
      <c r="U53" s="23" t="s">
        <v>186</v>
      </c>
    </row>
    <row r="54" spans="1:21" ht="47.25" customHeight="1">
      <c r="A54" s="12">
        <v>45</v>
      </c>
      <c r="B54" s="9" t="s">
        <v>125</v>
      </c>
      <c r="C54" s="10" t="s">
        <v>19</v>
      </c>
      <c r="D54" s="10">
        <v>120000</v>
      </c>
      <c r="E54" s="17">
        <f t="shared" si="9"/>
        <v>110000</v>
      </c>
      <c r="F54" s="17">
        <v>110000</v>
      </c>
      <c r="G54" s="17">
        <v>0</v>
      </c>
      <c r="H54" s="17">
        <v>0</v>
      </c>
      <c r="I54" s="17">
        <v>0</v>
      </c>
      <c r="J54" s="17">
        <v>0</v>
      </c>
      <c r="K54" s="16">
        <f t="shared" si="7"/>
        <v>25000</v>
      </c>
      <c r="L54" s="17">
        <f t="shared" si="10"/>
        <v>25000</v>
      </c>
      <c r="M54" s="17">
        <v>25000</v>
      </c>
      <c r="N54" s="17">
        <v>0</v>
      </c>
      <c r="O54" s="17">
        <v>0</v>
      </c>
      <c r="P54" s="17">
        <v>0</v>
      </c>
      <c r="Q54" s="17">
        <v>0</v>
      </c>
      <c r="R54" s="27">
        <v>25000</v>
      </c>
      <c r="S54" s="17">
        <v>0</v>
      </c>
      <c r="T54" s="44">
        <f t="shared" si="1"/>
        <v>0</v>
      </c>
      <c r="U54" s="23" t="s">
        <v>150</v>
      </c>
    </row>
    <row r="55" spans="1:21" ht="33.75" customHeight="1">
      <c r="A55" s="12">
        <v>46</v>
      </c>
      <c r="B55" s="9" t="s">
        <v>126</v>
      </c>
      <c r="C55" s="10" t="s">
        <v>19</v>
      </c>
      <c r="D55" s="10">
        <v>160000</v>
      </c>
      <c r="E55" s="17">
        <f t="shared" si="9"/>
        <v>130000</v>
      </c>
      <c r="F55" s="17">
        <v>130000</v>
      </c>
      <c r="G55" s="17">
        <v>0</v>
      </c>
      <c r="H55" s="17">
        <v>0</v>
      </c>
      <c r="I55" s="17">
        <v>0</v>
      </c>
      <c r="J55" s="17">
        <v>0</v>
      </c>
      <c r="K55" s="16">
        <f t="shared" si="7"/>
        <v>10000</v>
      </c>
      <c r="L55" s="17">
        <f t="shared" si="10"/>
        <v>10000</v>
      </c>
      <c r="M55" s="17">
        <f>100000-90000</f>
        <v>10000</v>
      </c>
      <c r="N55" s="17">
        <v>0</v>
      </c>
      <c r="O55" s="17">
        <v>0</v>
      </c>
      <c r="P55" s="17">
        <v>0</v>
      </c>
      <c r="Q55" s="17">
        <v>0</v>
      </c>
      <c r="R55" s="27">
        <v>10000</v>
      </c>
      <c r="S55" s="17">
        <v>0</v>
      </c>
      <c r="T55" s="44">
        <f t="shared" si="1"/>
        <v>0</v>
      </c>
      <c r="U55" s="23" t="s">
        <v>186</v>
      </c>
    </row>
    <row r="56" spans="1:21" s="30" customFormat="1" ht="33.75" customHeight="1">
      <c r="A56" s="24">
        <v>47</v>
      </c>
      <c r="B56" s="9" t="s">
        <v>83</v>
      </c>
      <c r="C56" s="29" t="s">
        <v>19</v>
      </c>
      <c r="D56" s="29">
        <v>2200000</v>
      </c>
      <c r="E56" s="25">
        <f t="shared" si="9"/>
        <v>200000</v>
      </c>
      <c r="F56" s="25">
        <v>200000</v>
      </c>
      <c r="G56" s="25">
        <v>0</v>
      </c>
      <c r="H56" s="25">
        <v>800000</v>
      </c>
      <c r="I56" s="25">
        <v>0</v>
      </c>
      <c r="J56" s="25">
        <v>1200000</v>
      </c>
      <c r="K56" s="27">
        <f t="shared" si="7"/>
        <v>10000</v>
      </c>
      <c r="L56" s="25">
        <f t="shared" si="10"/>
        <v>10000</v>
      </c>
      <c r="M56" s="25">
        <f>30000-20000</f>
        <v>10000</v>
      </c>
      <c r="N56" s="25">
        <v>0</v>
      </c>
      <c r="O56" s="25">
        <v>0</v>
      </c>
      <c r="P56" s="25">
        <v>0</v>
      </c>
      <c r="Q56" s="25">
        <v>0</v>
      </c>
      <c r="R56" s="27">
        <v>10000</v>
      </c>
      <c r="S56" s="25">
        <v>0</v>
      </c>
      <c r="T56" s="44">
        <f t="shared" si="1"/>
        <v>0</v>
      </c>
      <c r="U56" s="23" t="s">
        <v>186</v>
      </c>
    </row>
    <row r="57" spans="1:21" ht="26.25" customHeight="1">
      <c r="A57" s="12"/>
      <c r="B57" s="19" t="s">
        <v>15</v>
      </c>
      <c r="C57" s="10"/>
      <c r="D57" s="10"/>
      <c r="E57" s="16">
        <f>SUM(E10:E21)</f>
        <v>1442000</v>
      </c>
      <c r="F57" s="16" t="e">
        <f>SUM(F10+#REF!+F12+F13+#REF!+#REF!+#REF!+#REF!+F20+#REF!+#REF!+#REF!+#REF!+F47+#REF!+#REF!+F32+#REF!+#REF!+#REF!+#REF!+F33+F34+F35+F36+#REF!+F37+#REF!+#REF!+F40+F42+#REF!+F43+#REF!+#REF!+#REF!+F45+#REF!+#REF!+F48+F50+F51+F52+#REF!+F54+F55+F31+F56+#REF!+#REF!+F21)</f>
        <v>#REF!</v>
      </c>
      <c r="G57" s="16">
        <f>SUM(G10:G21)</f>
        <v>680000</v>
      </c>
      <c r="H57" s="16" t="e">
        <f>SUM(H10:H56)</f>
        <v>#VALUE!</v>
      </c>
      <c r="I57" s="16">
        <f>SUM(I10:I21)</f>
        <v>0</v>
      </c>
      <c r="J57" s="16">
        <f>SUM(J10:J21)</f>
        <v>1200000</v>
      </c>
      <c r="K57" s="16">
        <f>SUM(L57+O57+P57+Q57)</f>
        <v>23239745</v>
      </c>
      <c r="L57" s="16">
        <f aca="true" t="shared" si="11" ref="L57:Q57">SUM(L10:L56)</f>
        <v>12249745</v>
      </c>
      <c r="M57" s="16">
        <f t="shared" si="11"/>
        <v>11584745</v>
      </c>
      <c r="N57" s="16">
        <f t="shared" si="11"/>
        <v>665000</v>
      </c>
      <c r="O57" s="16">
        <f t="shared" si="11"/>
        <v>0</v>
      </c>
      <c r="P57" s="16">
        <f t="shared" si="11"/>
        <v>0</v>
      </c>
      <c r="Q57" s="16">
        <f t="shared" si="11"/>
        <v>10990000</v>
      </c>
      <c r="R57" s="27">
        <f>SUM(R10:R56)</f>
        <v>23939645</v>
      </c>
      <c r="S57" s="16">
        <f>SUM(S10:S56)</f>
        <v>10968058.389999995</v>
      </c>
      <c r="T57" s="45">
        <f t="shared" si="1"/>
        <v>0.45815459627743</v>
      </c>
      <c r="U57" s="23"/>
    </row>
    <row r="58" spans="1:21" ht="15.75">
      <c r="A58" s="14" t="s">
        <v>3</v>
      </c>
      <c r="B58" s="15" t="s">
        <v>4</v>
      </c>
      <c r="C58" s="10"/>
      <c r="D58" s="10"/>
      <c r="E58" s="17"/>
      <c r="F58" s="17"/>
      <c r="G58" s="17"/>
      <c r="H58" s="17"/>
      <c r="I58" s="17"/>
      <c r="J58" s="17"/>
      <c r="K58" s="16"/>
      <c r="L58" s="17"/>
      <c r="M58" s="17"/>
      <c r="N58" s="17"/>
      <c r="O58" s="17"/>
      <c r="P58" s="17"/>
      <c r="Q58" s="17"/>
      <c r="R58" s="27"/>
      <c r="S58" s="17"/>
      <c r="T58" s="44"/>
      <c r="U58" s="23"/>
    </row>
    <row r="59" spans="1:21" s="30" customFormat="1" ht="36.75" customHeight="1">
      <c r="A59" s="24">
        <v>1</v>
      </c>
      <c r="B59" s="36" t="s">
        <v>127</v>
      </c>
      <c r="C59" s="29" t="s">
        <v>5</v>
      </c>
      <c r="D59" s="29"/>
      <c r="E59" s="25"/>
      <c r="F59" s="25"/>
      <c r="G59" s="25"/>
      <c r="H59" s="25"/>
      <c r="I59" s="25"/>
      <c r="J59" s="25"/>
      <c r="K59" s="27">
        <f>SUM(L59+O59+Q59+P59)</f>
        <v>110000</v>
      </c>
      <c r="L59" s="25">
        <f>SUM(M59:N59)</f>
        <v>50000</v>
      </c>
      <c r="M59" s="25">
        <v>10000</v>
      </c>
      <c r="N59" s="25">
        <v>40000</v>
      </c>
      <c r="O59" s="25">
        <v>0</v>
      </c>
      <c r="P59" s="25">
        <v>0</v>
      </c>
      <c r="Q59" s="25">
        <v>60000</v>
      </c>
      <c r="R59" s="27">
        <v>110000</v>
      </c>
      <c r="S59" s="25">
        <v>0</v>
      </c>
      <c r="T59" s="44">
        <f t="shared" si="1"/>
        <v>0</v>
      </c>
      <c r="U59" s="23" t="s">
        <v>162</v>
      </c>
    </row>
    <row r="60" spans="1:21" s="30" customFormat="1" ht="31.5">
      <c r="A60" s="24">
        <v>2</v>
      </c>
      <c r="B60" s="36" t="s">
        <v>128</v>
      </c>
      <c r="C60" s="29" t="s">
        <v>5</v>
      </c>
      <c r="D60" s="29"/>
      <c r="E60" s="25"/>
      <c r="F60" s="25"/>
      <c r="G60" s="25"/>
      <c r="H60" s="25"/>
      <c r="I60" s="25"/>
      <c r="J60" s="25"/>
      <c r="K60" s="27">
        <f>SUM(L60+O60+Q60+P60)</f>
        <v>130000</v>
      </c>
      <c r="L60" s="25">
        <f>SUM(M60:N60)</f>
        <v>130000</v>
      </c>
      <c r="M60" s="25">
        <f>10000+80000</f>
        <v>90000</v>
      </c>
      <c r="N60" s="25">
        <v>40000</v>
      </c>
      <c r="O60" s="25">
        <v>0</v>
      </c>
      <c r="P60" s="25">
        <v>0</v>
      </c>
      <c r="Q60" s="25">
        <v>0</v>
      </c>
      <c r="R60" s="27">
        <v>130000</v>
      </c>
      <c r="S60" s="25">
        <v>323.32</v>
      </c>
      <c r="T60" s="44">
        <f t="shared" si="1"/>
        <v>0.002487076923076923</v>
      </c>
      <c r="U60" s="23" t="s">
        <v>162</v>
      </c>
    </row>
    <row r="61" spans="1:21" ht="34.5" customHeight="1">
      <c r="A61" s="24">
        <v>3</v>
      </c>
      <c r="B61" s="36" t="s">
        <v>129</v>
      </c>
      <c r="C61" s="10" t="s">
        <v>5</v>
      </c>
      <c r="D61" s="10"/>
      <c r="E61" s="17"/>
      <c r="F61" s="17"/>
      <c r="G61" s="17"/>
      <c r="H61" s="17"/>
      <c r="I61" s="17"/>
      <c r="J61" s="17"/>
      <c r="K61" s="16">
        <f aca="true" t="shared" si="12" ref="K61:K67">SUM(L61+O61+Q61+P61)</f>
        <v>100000</v>
      </c>
      <c r="L61" s="17">
        <f aca="true" t="shared" si="13" ref="L61:L67">SUM(M61:N61)</f>
        <v>100000</v>
      </c>
      <c r="M61" s="17">
        <v>20000</v>
      </c>
      <c r="N61" s="17">
        <v>80000</v>
      </c>
      <c r="O61" s="17">
        <v>0</v>
      </c>
      <c r="P61" s="17">
        <v>0</v>
      </c>
      <c r="Q61" s="17">
        <v>0</v>
      </c>
      <c r="R61" s="27">
        <v>100000</v>
      </c>
      <c r="S61" s="17">
        <v>0</v>
      </c>
      <c r="T61" s="44">
        <f t="shared" si="1"/>
        <v>0</v>
      </c>
      <c r="U61" s="23" t="s">
        <v>163</v>
      </c>
    </row>
    <row r="62" spans="1:21" ht="31.5">
      <c r="A62" s="24">
        <v>4</v>
      </c>
      <c r="B62" s="36" t="s">
        <v>48</v>
      </c>
      <c r="C62" s="10" t="s">
        <v>5</v>
      </c>
      <c r="D62" s="10"/>
      <c r="E62" s="17"/>
      <c r="F62" s="17"/>
      <c r="G62" s="17"/>
      <c r="H62" s="17"/>
      <c r="I62" s="17"/>
      <c r="J62" s="17"/>
      <c r="K62" s="16">
        <f t="shared" si="12"/>
        <v>250000</v>
      </c>
      <c r="L62" s="17">
        <f t="shared" si="13"/>
        <v>100000</v>
      </c>
      <c r="M62" s="17">
        <v>40000</v>
      </c>
      <c r="N62" s="17">
        <v>60000</v>
      </c>
      <c r="O62" s="17">
        <v>0</v>
      </c>
      <c r="P62" s="17">
        <v>0</v>
      </c>
      <c r="Q62" s="17">
        <v>150000</v>
      </c>
      <c r="R62" s="27">
        <v>250000</v>
      </c>
      <c r="S62" s="17">
        <v>0</v>
      </c>
      <c r="T62" s="44">
        <f t="shared" si="1"/>
        <v>0</v>
      </c>
      <c r="U62" s="23" t="s">
        <v>164</v>
      </c>
    </row>
    <row r="63" spans="1:21" s="30" customFormat="1" ht="31.5">
      <c r="A63" s="24">
        <v>5</v>
      </c>
      <c r="B63" s="36" t="s">
        <v>130</v>
      </c>
      <c r="C63" s="29" t="s">
        <v>5</v>
      </c>
      <c r="D63" s="29"/>
      <c r="E63" s="25"/>
      <c r="F63" s="25"/>
      <c r="G63" s="25"/>
      <c r="H63" s="25"/>
      <c r="I63" s="25"/>
      <c r="J63" s="25"/>
      <c r="K63" s="27">
        <f>SUM(L63+O63+Q63+P63)</f>
        <v>400000</v>
      </c>
      <c r="L63" s="25">
        <f>SUM(M63:N63)</f>
        <v>340000</v>
      </c>
      <c r="M63" s="25">
        <v>260000</v>
      </c>
      <c r="N63" s="25">
        <v>80000</v>
      </c>
      <c r="O63" s="25">
        <v>0</v>
      </c>
      <c r="P63" s="25">
        <v>0</v>
      </c>
      <c r="Q63" s="25">
        <v>60000</v>
      </c>
      <c r="R63" s="27">
        <v>400000</v>
      </c>
      <c r="S63" s="25">
        <v>0</v>
      </c>
      <c r="T63" s="44">
        <f t="shared" si="1"/>
        <v>0</v>
      </c>
      <c r="U63" s="23" t="s">
        <v>164</v>
      </c>
    </row>
    <row r="64" spans="1:21" ht="31.5">
      <c r="A64" s="24">
        <v>6</v>
      </c>
      <c r="B64" s="36" t="s">
        <v>44</v>
      </c>
      <c r="C64" s="10" t="s">
        <v>5</v>
      </c>
      <c r="D64" s="10"/>
      <c r="E64" s="17"/>
      <c r="F64" s="17"/>
      <c r="G64" s="17"/>
      <c r="H64" s="17"/>
      <c r="I64" s="17"/>
      <c r="J64" s="17"/>
      <c r="K64" s="16">
        <f t="shared" si="12"/>
        <v>215000</v>
      </c>
      <c r="L64" s="17">
        <f t="shared" si="13"/>
        <v>55000</v>
      </c>
      <c r="M64" s="17">
        <v>15000</v>
      </c>
      <c r="N64" s="17">
        <v>40000</v>
      </c>
      <c r="O64" s="17">
        <v>0</v>
      </c>
      <c r="P64" s="17">
        <v>0</v>
      </c>
      <c r="Q64" s="17">
        <v>160000</v>
      </c>
      <c r="R64" s="27">
        <v>215000</v>
      </c>
      <c r="S64" s="17">
        <v>0</v>
      </c>
      <c r="T64" s="44">
        <f t="shared" si="1"/>
        <v>0</v>
      </c>
      <c r="U64" s="23" t="s">
        <v>164</v>
      </c>
    </row>
    <row r="65" spans="1:21" ht="31.5">
      <c r="A65" s="24">
        <v>7</v>
      </c>
      <c r="B65" s="36" t="s">
        <v>49</v>
      </c>
      <c r="C65" s="10" t="s">
        <v>5</v>
      </c>
      <c r="D65" s="10"/>
      <c r="E65" s="17"/>
      <c r="F65" s="17"/>
      <c r="G65" s="17"/>
      <c r="H65" s="17"/>
      <c r="I65" s="17"/>
      <c r="J65" s="17"/>
      <c r="K65" s="16">
        <f t="shared" si="12"/>
        <v>220000</v>
      </c>
      <c r="L65" s="17">
        <f t="shared" si="13"/>
        <v>220000</v>
      </c>
      <c r="M65" s="17">
        <f>10000+170000</f>
        <v>180000</v>
      </c>
      <c r="N65" s="17">
        <v>40000</v>
      </c>
      <c r="O65" s="17">
        <v>0</v>
      </c>
      <c r="P65" s="17">
        <v>0</v>
      </c>
      <c r="Q65" s="17">
        <v>0</v>
      </c>
      <c r="R65" s="27">
        <v>220000</v>
      </c>
      <c r="S65" s="17">
        <v>0</v>
      </c>
      <c r="T65" s="44">
        <f t="shared" si="1"/>
        <v>0</v>
      </c>
      <c r="U65" s="23" t="s">
        <v>165</v>
      </c>
    </row>
    <row r="66" spans="1:21" ht="47.25">
      <c r="A66" s="24">
        <v>8</v>
      </c>
      <c r="B66" s="36" t="s">
        <v>94</v>
      </c>
      <c r="C66" s="10" t="s">
        <v>5</v>
      </c>
      <c r="D66" s="10"/>
      <c r="E66" s="17"/>
      <c r="F66" s="17"/>
      <c r="G66" s="17"/>
      <c r="H66" s="17"/>
      <c r="I66" s="17"/>
      <c r="J66" s="17"/>
      <c r="K66" s="16">
        <f t="shared" si="12"/>
        <v>250000</v>
      </c>
      <c r="L66" s="17">
        <f t="shared" si="13"/>
        <v>250000</v>
      </c>
      <c r="M66" s="17">
        <f>50000+100000</f>
        <v>150000</v>
      </c>
      <c r="N66" s="17">
        <v>100000</v>
      </c>
      <c r="O66" s="17">
        <v>0</v>
      </c>
      <c r="P66" s="17">
        <v>0</v>
      </c>
      <c r="Q66" s="17">
        <v>0</v>
      </c>
      <c r="R66" s="27">
        <v>250000</v>
      </c>
      <c r="S66" s="17">
        <v>3589.97</v>
      </c>
      <c r="T66" s="44">
        <f t="shared" si="1"/>
        <v>0.014359879999999998</v>
      </c>
      <c r="U66" s="23" t="s">
        <v>166</v>
      </c>
    </row>
    <row r="67" spans="1:21" ht="15.75">
      <c r="A67" s="24">
        <v>9</v>
      </c>
      <c r="B67" s="36" t="s">
        <v>47</v>
      </c>
      <c r="C67" s="10" t="s">
        <v>5</v>
      </c>
      <c r="D67" s="10"/>
      <c r="E67" s="17"/>
      <c r="F67" s="17"/>
      <c r="G67" s="17"/>
      <c r="H67" s="17"/>
      <c r="I67" s="17"/>
      <c r="J67" s="17"/>
      <c r="K67" s="16">
        <f t="shared" si="12"/>
        <v>30000</v>
      </c>
      <c r="L67" s="17">
        <f t="shared" si="13"/>
        <v>30000</v>
      </c>
      <c r="M67" s="17">
        <v>30000</v>
      </c>
      <c r="N67" s="17">
        <v>0</v>
      </c>
      <c r="O67" s="17">
        <v>0</v>
      </c>
      <c r="P67" s="17">
        <v>0</v>
      </c>
      <c r="Q67" s="17">
        <v>0</v>
      </c>
      <c r="R67" s="27">
        <v>30000</v>
      </c>
      <c r="S67" s="17">
        <v>6075.09</v>
      </c>
      <c r="T67" s="44">
        <f t="shared" si="1"/>
        <v>0.20250300000000002</v>
      </c>
      <c r="U67" s="23" t="s">
        <v>145</v>
      </c>
    </row>
    <row r="68" spans="1:21" ht="46.5" customHeight="1">
      <c r="A68" s="24">
        <v>10</v>
      </c>
      <c r="B68" s="9" t="s">
        <v>95</v>
      </c>
      <c r="C68" s="10" t="s">
        <v>5</v>
      </c>
      <c r="D68" s="10">
        <v>290000</v>
      </c>
      <c r="E68" s="17">
        <f>SUM(F68:G68)</f>
        <v>190000</v>
      </c>
      <c r="F68" s="17">
        <v>80000</v>
      </c>
      <c r="G68" s="17">
        <v>110000</v>
      </c>
      <c r="H68" s="17">
        <v>0</v>
      </c>
      <c r="I68" s="17">
        <v>0</v>
      </c>
      <c r="J68" s="17">
        <v>100000</v>
      </c>
      <c r="K68" s="16">
        <f aca="true" t="shared" si="14" ref="K68:K73">SUM(L68+Q68+O68+P68)</f>
        <v>80000</v>
      </c>
      <c r="L68" s="17">
        <f aca="true" t="shared" si="15" ref="L68:L73">SUM(M68:N68)</f>
        <v>80000</v>
      </c>
      <c r="M68" s="17">
        <v>65000</v>
      </c>
      <c r="N68" s="17">
        <v>15000</v>
      </c>
      <c r="O68" s="17">
        <v>0</v>
      </c>
      <c r="P68" s="17">
        <v>0</v>
      </c>
      <c r="Q68" s="17">
        <v>0</v>
      </c>
      <c r="R68" s="27">
        <v>80000</v>
      </c>
      <c r="S68" s="17">
        <v>0</v>
      </c>
      <c r="T68" s="44">
        <f t="shared" si="1"/>
        <v>0</v>
      </c>
      <c r="U68" s="23" t="s">
        <v>89</v>
      </c>
    </row>
    <row r="69" spans="1:21" ht="64.5" customHeight="1">
      <c r="A69" s="24">
        <v>11</v>
      </c>
      <c r="B69" s="43" t="s">
        <v>131</v>
      </c>
      <c r="C69" s="10" t="s">
        <v>5</v>
      </c>
      <c r="D69" s="10"/>
      <c r="E69" s="17"/>
      <c r="F69" s="17"/>
      <c r="G69" s="17"/>
      <c r="H69" s="17"/>
      <c r="I69" s="17"/>
      <c r="J69" s="17"/>
      <c r="K69" s="16">
        <f t="shared" si="14"/>
        <v>50000</v>
      </c>
      <c r="L69" s="17">
        <f t="shared" si="15"/>
        <v>50000</v>
      </c>
      <c r="M69" s="17">
        <v>50000</v>
      </c>
      <c r="N69" s="17">
        <v>0</v>
      </c>
      <c r="O69" s="17">
        <v>0</v>
      </c>
      <c r="P69" s="17">
        <v>0</v>
      </c>
      <c r="Q69" s="17">
        <v>0</v>
      </c>
      <c r="R69" s="27">
        <v>50000</v>
      </c>
      <c r="S69" s="17">
        <v>0</v>
      </c>
      <c r="T69" s="44">
        <f t="shared" si="1"/>
        <v>0</v>
      </c>
      <c r="U69" s="23" t="s">
        <v>186</v>
      </c>
    </row>
    <row r="70" spans="1:21" ht="46.5" customHeight="1">
      <c r="A70" s="24">
        <v>12</v>
      </c>
      <c r="B70" s="9" t="s">
        <v>50</v>
      </c>
      <c r="C70" s="10" t="s">
        <v>5</v>
      </c>
      <c r="D70" s="10"/>
      <c r="E70" s="17"/>
      <c r="F70" s="17"/>
      <c r="G70" s="17"/>
      <c r="H70" s="17"/>
      <c r="I70" s="17"/>
      <c r="J70" s="17"/>
      <c r="K70" s="16">
        <f t="shared" si="14"/>
        <v>60000</v>
      </c>
      <c r="L70" s="17">
        <f t="shared" si="15"/>
        <v>60000</v>
      </c>
      <c r="M70" s="17">
        <v>48000</v>
      </c>
      <c r="N70" s="17">
        <v>12000</v>
      </c>
      <c r="O70" s="17">
        <v>0</v>
      </c>
      <c r="P70" s="17">
        <v>0</v>
      </c>
      <c r="Q70" s="17">
        <v>0</v>
      </c>
      <c r="R70" s="27">
        <v>60000</v>
      </c>
      <c r="S70" s="17">
        <v>1220</v>
      </c>
      <c r="T70" s="44">
        <f t="shared" si="1"/>
        <v>0.02033333333333333</v>
      </c>
      <c r="U70" s="23" t="s">
        <v>87</v>
      </c>
    </row>
    <row r="71" spans="1:21" ht="47.25" customHeight="1">
      <c r="A71" s="24">
        <v>13</v>
      </c>
      <c r="B71" s="43" t="s">
        <v>132</v>
      </c>
      <c r="C71" s="10" t="s">
        <v>5</v>
      </c>
      <c r="D71" s="10"/>
      <c r="E71" s="17"/>
      <c r="F71" s="17"/>
      <c r="G71" s="17"/>
      <c r="H71" s="17"/>
      <c r="I71" s="17"/>
      <c r="J71" s="17"/>
      <c r="K71" s="16">
        <f t="shared" si="14"/>
        <v>80000</v>
      </c>
      <c r="L71" s="17">
        <f t="shared" si="15"/>
        <v>80000</v>
      </c>
      <c r="M71" s="17">
        <v>20000</v>
      </c>
      <c r="N71" s="17">
        <v>60000</v>
      </c>
      <c r="O71" s="17">
        <v>0</v>
      </c>
      <c r="P71" s="17">
        <v>0</v>
      </c>
      <c r="Q71" s="17">
        <v>0</v>
      </c>
      <c r="R71" s="27">
        <v>80000</v>
      </c>
      <c r="S71" s="17">
        <v>0</v>
      </c>
      <c r="T71" s="44">
        <f t="shared" si="1"/>
        <v>0</v>
      </c>
      <c r="U71" s="23" t="s">
        <v>186</v>
      </c>
    </row>
    <row r="72" spans="1:21" ht="34.5" customHeight="1">
      <c r="A72" s="24">
        <v>14</v>
      </c>
      <c r="B72" s="9" t="s">
        <v>66</v>
      </c>
      <c r="C72" s="10" t="s">
        <v>5</v>
      </c>
      <c r="D72" s="10"/>
      <c r="E72" s="17"/>
      <c r="F72" s="17"/>
      <c r="G72" s="17"/>
      <c r="H72" s="17"/>
      <c r="I72" s="17"/>
      <c r="J72" s="17"/>
      <c r="K72" s="16">
        <f t="shared" si="14"/>
        <v>53000</v>
      </c>
      <c r="L72" s="17">
        <f t="shared" si="15"/>
        <v>53000</v>
      </c>
      <c r="M72" s="17">
        <v>0</v>
      </c>
      <c r="N72" s="17">
        <v>53000</v>
      </c>
      <c r="O72" s="17">
        <v>0</v>
      </c>
      <c r="P72" s="17">
        <v>0</v>
      </c>
      <c r="Q72" s="17">
        <v>0</v>
      </c>
      <c r="R72" s="27">
        <v>53000</v>
      </c>
      <c r="S72" s="17">
        <v>0</v>
      </c>
      <c r="T72" s="44">
        <f t="shared" si="1"/>
        <v>0</v>
      </c>
      <c r="U72" s="23" t="s">
        <v>93</v>
      </c>
    </row>
    <row r="73" spans="1:21" ht="54" customHeight="1">
      <c r="A73" s="24">
        <v>15</v>
      </c>
      <c r="B73" s="43" t="s">
        <v>133</v>
      </c>
      <c r="C73" s="10" t="s">
        <v>5</v>
      </c>
      <c r="D73" s="10">
        <v>50000</v>
      </c>
      <c r="E73" s="17">
        <f>SUM(F73:G73)</f>
        <v>50000</v>
      </c>
      <c r="F73" s="17">
        <v>50000</v>
      </c>
      <c r="G73" s="17">
        <v>0</v>
      </c>
      <c r="H73" s="17">
        <v>0</v>
      </c>
      <c r="I73" s="17">
        <v>0</v>
      </c>
      <c r="J73" s="17">
        <v>0</v>
      </c>
      <c r="K73" s="16">
        <f t="shared" si="14"/>
        <v>138660</v>
      </c>
      <c r="L73" s="17">
        <f t="shared" si="15"/>
        <v>138660</v>
      </c>
      <c r="M73" s="17">
        <f>50000+88660</f>
        <v>138660</v>
      </c>
      <c r="N73" s="17">
        <v>0</v>
      </c>
      <c r="O73" s="17">
        <v>0</v>
      </c>
      <c r="P73" s="17">
        <v>0</v>
      </c>
      <c r="Q73" s="17">
        <v>0</v>
      </c>
      <c r="R73" s="27">
        <v>138660</v>
      </c>
      <c r="S73" s="17">
        <v>0</v>
      </c>
      <c r="T73" s="44">
        <f t="shared" si="1"/>
        <v>0</v>
      </c>
      <c r="U73" s="23" t="s">
        <v>173</v>
      </c>
    </row>
    <row r="74" spans="1:21" ht="37.5" customHeight="1">
      <c r="A74" s="24">
        <v>16</v>
      </c>
      <c r="B74" s="41" t="s">
        <v>55</v>
      </c>
      <c r="C74" s="10" t="s">
        <v>6</v>
      </c>
      <c r="D74" s="10">
        <v>170000</v>
      </c>
      <c r="E74" s="17">
        <f aca="true" t="shared" si="16" ref="E74:E81">SUM(F74:G74)</f>
        <v>70000</v>
      </c>
      <c r="F74" s="17">
        <v>70000</v>
      </c>
      <c r="G74" s="17">
        <v>0</v>
      </c>
      <c r="H74" s="17">
        <v>0</v>
      </c>
      <c r="I74" s="17">
        <v>0</v>
      </c>
      <c r="J74" s="17">
        <v>100000</v>
      </c>
      <c r="K74" s="16">
        <f aca="true" t="shared" si="17" ref="K74:K87">SUM(L74+Q74+O74+P74)</f>
        <v>100000</v>
      </c>
      <c r="L74" s="17">
        <f aca="true" t="shared" si="18" ref="L74:L80">SUM(M74:N74)</f>
        <v>100000</v>
      </c>
      <c r="M74" s="17">
        <v>100000</v>
      </c>
      <c r="N74" s="17">
        <v>0</v>
      </c>
      <c r="O74" s="17">
        <v>0</v>
      </c>
      <c r="P74" s="17">
        <v>0</v>
      </c>
      <c r="Q74" s="17">
        <v>0</v>
      </c>
      <c r="R74" s="27">
        <v>100000</v>
      </c>
      <c r="S74" s="17">
        <v>0</v>
      </c>
      <c r="T74" s="44">
        <f t="shared" si="1"/>
        <v>0</v>
      </c>
      <c r="U74" s="23" t="s">
        <v>187</v>
      </c>
    </row>
    <row r="75" spans="1:21" s="30" customFormat="1" ht="21" customHeight="1">
      <c r="A75" s="24">
        <v>17</v>
      </c>
      <c r="B75" s="9" t="s">
        <v>56</v>
      </c>
      <c r="C75" s="29" t="s">
        <v>6</v>
      </c>
      <c r="D75" s="29">
        <v>250000</v>
      </c>
      <c r="E75" s="25">
        <f t="shared" si="16"/>
        <v>50000</v>
      </c>
      <c r="F75" s="25">
        <v>50000</v>
      </c>
      <c r="G75" s="25">
        <v>0</v>
      </c>
      <c r="H75" s="25">
        <v>0</v>
      </c>
      <c r="I75" s="25">
        <v>0</v>
      </c>
      <c r="J75" s="25">
        <v>200000</v>
      </c>
      <c r="K75" s="27">
        <f t="shared" si="17"/>
        <v>37000</v>
      </c>
      <c r="L75" s="25">
        <f t="shared" si="18"/>
        <v>37000</v>
      </c>
      <c r="M75" s="25">
        <f>200000-150000-13000</f>
        <v>37000</v>
      </c>
      <c r="N75" s="25">
        <v>0</v>
      </c>
      <c r="O75" s="25">
        <v>0</v>
      </c>
      <c r="P75" s="25">
        <v>0</v>
      </c>
      <c r="Q75" s="25">
        <v>0</v>
      </c>
      <c r="R75" s="27">
        <v>37000</v>
      </c>
      <c r="S75" s="25">
        <v>0</v>
      </c>
      <c r="T75" s="44">
        <f aca="true" t="shared" si="19" ref="T75:T112">SUM(S75/R75)</f>
        <v>0</v>
      </c>
      <c r="U75" s="23" t="s">
        <v>188</v>
      </c>
    </row>
    <row r="76" spans="1:21" ht="36.75" customHeight="1">
      <c r="A76" s="24">
        <v>18</v>
      </c>
      <c r="B76" s="9" t="s">
        <v>57</v>
      </c>
      <c r="C76" s="10" t="s">
        <v>6</v>
      </c>
      <c r="D76" s="10"/>
      <c r="E76" s="17"/>
      <c r="F76" s="17"/>
      <c r="G76" s="17"/>
      <c r="H76" s="17"/>
      <c r="I76" s="17"/>
      <c r="J76" s="17"/>
      <c r="K76" s="16">
        <f t="shared" si="17"/>
        <v>140000</v>
      </c>
      <c r="L76" s="25">
        <f t="shared" si="18"/>
        <v>140000</v>
      </c>
      <c r="M76" s="25">
        <f>200000-150000+90000</f>
        <v>140000</v>
      </c>
      <c r="N76" s="17">
        <v>0</v>
      </c>
      <c r="O76" s="17">
        <v>0</v>
      </c>
      <c r="P76" s="17">
        <v>0</v>
      </c>
      <c r="Q76" s="17">
        <v>0</v>
      </c>
      <c r="R76" s="27">
        <v>140000</v>
      </c>
      <c r="S76" s="17">
        <v>0</v>
      </c>
      <c r="T76" s="44">
        <f t="shared" si="19"/>
        <v>0</v>
      </c>
      <c r="U76" s="23" t="s">
        <v>145</v>
      </c>
    </row>
    <row r="77" spans="1:21" ht="22.5" customHeight="1">
      <c r="A77" s="24">
        <v>19</v>
      </c>
      <c r="B77" s="9" t="s">
        <v>70</v>
      </c>
      <c r="C77" s="10" t="s">
        <v>6</v>
      </c>
      <c r="D77" s="10"/>
      <c r="E77" s="17"/>
      <c r="F77" s="17"/>
      <c r="G77" s="17"/>
      <c r="H77" s="17"/>
      <c r="I77" s="17"/>
      <c r="J77" s="17"/>
      <c r="K77" s="16">
        <f t="shared" si="17"/>
        <v>50000</v>
      </c>
      <c r="L77" s="25">
        <f t="shared" si="18"/>
        <v>50000</v>
      </c>
      <c r="M77" s="25">
        <f>200000-150000</f>
        <v>50000</v>
      </c>
      <c r="N77" s="17">
        <v>0</v>
      </c>
      <c r="O77" s="17">
        <v>0</v>
      </c>
      <c r="P77" s="17">
        <v>0</v>
      </c>
      <c r="Q77" s="17">
        <v>0</v>
      </c>
      <c r="R77" s="27">
        <v>50000</v>
      </c>
      <c r="S77" s="17">
        <v>0</v>
      </c>
      <c r="T77" s="44">
        <f t="shared" si="19"/>
        <v>0</v>
      </c>
      <c r="U77" s="23" t="s">
        <v>188</v>
      </c>
    </row>
    <row r="78" spans="1:21" ht="36.75" customHeight="1">
      <c r="A78" s="24">
        <v>20</v>
      </c>
      <c r="B78" s="9" t="s">
        <v>134</v>
      </c>
      <c r="C78" s="10" t="s">
        <v>6</v>
      </c>
      <c r="D78" s="10">
        <v>180000</v>
      </c>
      <c r="E78" s="17">
        <f t="shared" si="16"/>
        <v>50000</v>
      </c>
      <c r="F78" s="17">
        <v>50000</v>
      </c>
      <c r="G78" s="17">
        <v>0</v>
      </c>
      <c r="H78" s="17">
        <v>0</v>
      </c>
      <c r="I78" s="17">
        <v>0</v>
      </c>
      <c r="J78" s="17">
        <v>130000</v>
      </c>
      <c r="K78" s="16">
        <f t="shared" si="17"/>
        <v>150000</v>
      </c>
      <c r="L78" s="17">
        <f t="shared" si="18"/>
        <v>150000</v>
      </c>
      <c r="M78" s="17">
        <v>150000</v>
      </c>
      <c r="N78" s="17">
        <v>0</v>
      </c>
      <c r="O78" s="17">
        <v>0</v>
      </c>
      <c r="P78" s="17">
        <v>0</v>
      </c>
      <c r="Q78" s="17">
        <v>0</v>
      </c>
      <c r="R78" s="27">
        <v>150000</v>
      </c>
      <c r="S78" s="17">
        <v>0</v>
      </c>
      <c r="T78" s="44">
        <f t="shared" si="19"/>
        <v>0</v>
      </c>
      <c r="U78" s="23" t="s">
        <v>188</v>
      </c>
    </row>
    <row r="79" spans="1:21" ht="33" customHeight="1">
      <c r="A79" s="24">
        <v>21</v>
      </c>
      <c r="B79" s="9" t="s">
        <v>96</v>
      </c>
      <c r="C79" s="10" t="s">
        <v>6</v>
      </c>
      <c r="D79" s="10">
        <v>600000</v>
      </c>
      <c r="E79" s="17">
        <f t="shared" si="16"/>
        <v>60000</v>
      </c>
      <c r="F79" s="17">
        <v>60000</v>
      </c>
      <c r="G79" s="17">
        <v>0</v>
      </c>
      <c r="H79" s="17">
        <v>0</v>
      </c>
      <c r="I79" s="17">
        <v>0</v>
      </c>
      <c r="J79" s="17">
        <v>220000</v>
      </c>
      <c r="K79" s="16">
        <f t="shared" si="17"/>
        <v>300000</v>
      </c>
      <c r="L79" s="17">
        <f t="shared" si="18"/>
        <v>50000</v>
      </c>
      <c r="M79" s="17">
        <f>300000-250000</f>
        <v>50000</v>
      </c>
      <c r="N79" s="17">
        <v>0</v>
      </c>
      <c r="O79" s="17">
        <v>0</v>
      </c>
      <c r="P79" s="17">
        <v>0</v>
      </c>
      <c r="Q79" s="17">
        <v>250000</v>
      </c>
      <c r="R79" s="27">
        <v>300000</v>
      </c>
      <c r="S79" s="17">
        <v>0</v>
      </c>
      <c r="T79" s="44">
        <f t="shared" si="19"/>
        <v>0</v>
      </c>
      <c r="U79" s="23" t="s">
        <v>188</v>
      </c>
    </row>
    <row r="80" spans="1:21" ht="22.5" customHeight="1">
      <c r="A80" s="24">
        <v>22</v>
      </c>
      <c r="B80" s="9" t="s">
        <v>58</v>
      </c>
      <c r="C80" s="10" t="s">
        <v>6</v>
      </c>
      <c r="D80" s="10"/>
      <c r="E80" s="17"/>
      <c r="F80" s="17"/>
      <c r="G80" s="16"/>
      <c r="H80" s="16"/>
      <c r="I80" s="16"/>
      <c r="J80" s="16"/>
      <c r="K80" s="16">
        <f t="shared" si="17"/>
        <v>580000</v>
      </c>
      <c r="L80" s="17">
        <f t="shared" si="18"/>
        <v>580000</v>
      </c>
      <c r="M80" s="17">
        <f>300000+280000</f>
        <v>580000</v>
      </c>
      <c r="N80" s="25">
        <v>0</v>
      </c>
      <c r="O80" s="25">
        <v>0</v>
      </c>
      <c r="P80" s="25">
        <v>0</v>
      </c>
      <c r="Q80" s="17">
        <v>0</v>
      </c>
      <c r="R80" s="27">
        <v>580000</v>
      </c>
      <c r="S80" s="17">
        <v>0</v>
      </c>
      <c r="T80" s="44">
        <f t="shared" si="19"/>
        <v>0</v>
      </c>
      <c r="U80" s="23" t="s">
        <v>189</v>
      </c>
    </row>
    <row r="81" spans="1:21" s="30" customFormat="1" ht="21.75" customHeight="1">
      <c r="A81" s="24">
        <v>23</v>
      </c>
      <c r="B81" s="9" t="s">
        <v>59</v>
      </c>
      <c r="C81" s="29" t="s">
        <v>6</v>
      </c>
      <c r="D81" s="29">
        <v>290000</v>
      </c>
      <c r="E81" s="25">
        <f t="shared" si="16"/>
        <v>40000</v>
      </c>
      <c r="F81" s="25">
        <v>40000</v>
      </c>
      <c r="G81" s="25">
        <v>0</v>
      </c>
      <c r="H81" s="25">
        <v>0</v>
      </c>
      <c r="I81" s="25">
        <v>0</v>
      </c>
      <c r="J81" s="25">
        <v>250000</v>
      </c>
      <c r="K81" s="27">
        <f t="shared" si="17"/>
        <v>100000</v>
      </c>
      <c r="L81" s="25">
        <f aca="true" t="shared" si="20" ref="L81:L100">SUM(M81:N81)</f>
        <v>100000</v>
      </c>
      <c r="M81" s="25">
        <v>100000</v>
      </c>
      <c r="N81" s="25">
        <v>0</v>
      </c>
      <c r="O81" s="25">
        <v>0</v>
      </c>
      <c r="P81" s="25">
        <v>0</v>
      </c>
      <c r="Q81" s="25">
        <v>0</v>
      </c>
      <c r="R81" s="27">
        <v>100000</v>
      </c>
      <c r="S81" s="25">
        <v>0</v>
      </c>
      <c r="T81" s="44">
        <f t="shared" si="19"/>
        <v>0</v>
      </c>
      <c r="U81" s="23" t="s">
        <v>189</v>
      </c>
    </row>
    <row r="82" spans="1:21" ht="36.75" customHeight="1">
      <c r="A82" s="24">
        <v>24</v>
      </c>
      <c r="B82" s="9" t="s">
        <v>60</v>
      </c>
      <c r="C82" s="10" t="s">
        <v>6</v>
      </c>
      <c r="D82" s="10">
        <v>330000</v>
      </c>
      <c r="E82" s="17">
        <f>SUM(F82:G82)</f>
        <v>80000</v>
      </c>
      <c r="F82" s="17">
        <v>80000</v>
      </c>
      <c r="G82" s="17">
        <v>0</v>
      </c>
      <c r="H82" s="17">
        <v>0</v>
      </c>
      <c r="I82" s="17">
        <v>0</v>
      </c>
      <c r="J82" s="17">
        <v>0</v>
      </c>
      <c r="K82" s="16">
        <f t="shared" si="17"/>
        <v>200000</v>
      </c>
      <c r="L82" s="17">
        <f t="shared" si="20"/>
        <v>50000</v>
      </c>
      <c r="M82" s="17">
        <f>200000-150000</f>
        <v>50000</v>
      </c>
      <c r="N82" s="17">
        <v>0</v>
      </c>
      <c r="O82" s="17">
        <v>0</v>
      </c>
      <c r="P82" s="17">
        <v>0</v>
      </c>
      <c r="Q82" s="17">
        <v>150000</v>
      </c>
      <c r="R82" s="27">
        <v>200000</v>
      </c>
      <c r="S82" s="17">
        <v>0</v>
      </c>
      <c r="T82" s="44">
        <f t="shared" si="19"/>
        <v>0</v>
      </c>
      <c r="U82" s="23" t="s">
        <v>189</v>
      </c>
    </row>
    <row r="83" spans="1:21" s="30" customFormat="1" ht="31.5" customHeight="1">
      <c r="A83" s="24">
        <v>25</v>
      </c>
      <c r="B83" s="9" t="s">
        <v>135</v>
      </c>
      <c r="C83" s="29" t="s">
        <v>6</v>
      </c>
      <c r="D83" s="29"/>
      <c r="E83" s="25"/>
      <c r="F83" s="25"/>
      <c r="G83" s="25"/>
      <c r="H83" s="25"/>
      <c r="I83" s="25"/>
      <c r="J83" s="25"/>
      <c r="K83" s="27">
        <f t="shared" si="17"/>
        <v>152000</v>
      </c>
      <c r="L83" s="25">
        <f t="shared" si="20"/>
        <v>152000</v>
      </c>
      <c r="M83" s="25">
        <f>60000+92000</f>
        <v>152000</v>
      </c>
      <c r="N83" s="25">
        <v>0</v>
      </c>
      <c r="O83" s="25">
        <v>0</v>
      </c>
      <c r="P83" s="25">
        <v>0</v>
      </c>
      <c r="Q83" s="25">
        <v>0</v>
      </c>
      <c r="R83" s="27">
        <v>152000</v>
      </c>
      <c r="S83" s="25">
        <v>0</v>
      </c>
      <c r="T83" s="44">
        <f t="shared" si="19"/>
        <v>0</v>
      </c>
      <c r="U83" s="23" t="s">
        <v>189</v>
      </c>
    </row>
    <row r="84" spans="1:21" ht="47.25" customHeight="1" hidden="1">
      <c r="A84" s="28"/>
      <c r="B84" s="9"/>
      <c r="C84" s="26"/>
      <c r="D84" s="26"/>
      <c r="E84" s="27"/>
      <c r="F84" s="27"/>
      <c r="G84" s="27"/>
      <c r="H84" s="27"/>
      <c r="I84" s="27"/>
      <c r="J84" s="27"/>
      <c r="K84" s="27"/>
      <c r="L84" s="27">
        <f t="shared" si="20"/>
        <v>0</v>
      </c>
      <c r="M84" s="27">
        <v>0</v>
      </c>
      <c r="N84" s="27"/>
      <c r="O84" s="27"/>
      <c r="P84" s="27">
        <v>0</v>
      </c>
      <c r="Q84" s="27">
        <v>0</v>
      </c>
      <c r="R84" s="27"/>
      <c r="S84" s="27"/>
      <c r="T84" s="44" t="e">
        <f t="shared" si="19"/>
        <v>#DIV/0!</v>
      </c>
      <c r="U84" s="23"/>
    </row>
    <row r="85" spans="1:21" ht="33" customHeight="1">
      <c r="A85" s="24">
        <v>26</v>
      </c>
      <c r="B85" s="41" t="s">
        <v>136</v>
      </c>
      <c r="C85" s="10" t="s">
        <v>6</v>
      </c>
      <c r="D85" s="10"/>
      <c r="E85" s="17"/>
      <c r="F85" s="17"/>
      <c r="G85" s="17"/>
      <c r="H85" s="17"/>
      <c r="I85" s="17"/>
      <c r="J85" s="17"/>
      <c r="K85" s="16">
        <f t="shared" si="17"/>
        <v>50000</v>
      </c>
      <c r="L85" s="17">
        <f t="shared" si="20"/>
        <v>50000</v>
      </c>
      <c r="M85" s="17">
        <v>50000</v>
      </c>
      <c r="N85" s="17">
        <v>0</v>
      </c>
      <c r="O85" s="17">
        <v>0</v>
      </c>
      <c r="P85" s="17">
        <v>0</v>
      </c>
      <c r="Q85" s="17">
        <v>0</v>
      </c>
      <c r="R85" s="27">
        <v>50000</v>
      </c>
      <c r="S85" s="17">
        <v>0</v>
      </c>
      <c r="T85" s="44">
        <f t="shared" si="19"/>
        <v>0</v>
      </c>
      <c r="U85" s="51"/>
    </row>
    <row r="86" spans="1:21" ht="33" customHeight="1">
      <c r="A86" s="24">
        <v>27</v>
      </c>
      <c r="B86" s="9" t="s">
        <v>97</v>
      </c>
      <c r="C86" s="10" t="s">
        <v>6</v>
      </c>
      <c r="D86" s="10"/>
      <c r="E86" s="17"/>
      <c r="F86" s="17"/>
      <c r="G86" s="17"/>
      <c r="H86" s="17"/>
      <c r="I86" s="17"/>
      <c r="J86" s="17"/>
      <c r="K86" s="16">
        <f t="shared" si="17"/>
        <v>50000</v>
      </c>
      <c r="L86" s="17">
        <f t="shared" si="20"/>
        <v>50000</v>
      </c>
      <c r="M86" s="17">
        <v>50000</v>
      </c>
      <c r="N86" s="17">
        <v>0</v>
      </c>
      <c r="O86" s="17">
        <v>0</v>
      </c>
      <c r="P86" s="17">
        <v>0</v>
      </c>
      <c r="Q86" s="17">
        <v>0</v>
      </c>
      <c r="R86" s="27">
        <v>50000</v>
      </c>
      <c r="S86" s="17">
        <v>0</v>
      </c>
      <c r="T86" s="44">
        <f t="shared" si="19"/>
        <v>0</v>
      </c>
      <c r="U86" s="23" t="s">
        <v>188</v>
      </c>
    </row>
    <row r="87" spans="1:21" ht="36.75" customHeight="1">
      <c r="A87" s="24">
        <v>28</v>
      </c>
      <c r="B87" s="41" t="s">
        <v>99</v>
      </c>
      <c r="C87" s="10" t="s">
        <v>6</v>
      </c>
      <c r="D87" s="10">
        <v>450000</v>
      </c>
      <c r="E87" s="17">
        <f>SUM(F87:G87)</f>
        <v>300000</v>
      </c>
      <c r="F87" s="17">
        <v>300000</v>
      </c>
      <c r="G87" s="17">
        <v>0</v>
      </c>
      <c r="H87" s="17">
        <v>0</v>
      </c>
      <c r="I87" s="17">
        <v>0</v>
      </c>
      <c r="J87" s="17">
        <v>0</v>
      </c>
      <c r="K87" s="16">
        <f t="shared" si="17"/>
        <v>550000</v>
      </c>
      <c r="L87" s="17">
        <f t="shared" si="20"/>
        <v>550000</v>
      </c>
      <c r="M87" s="17">
        <f>350000+200000</f>
        <v>550000</v>
      </c>
      <c r="N87" s="17">
        <v>0</v>
      </c>
      <c r="O87" s="17">
        <v>0</v>
      </c>
      <c r="P87" s="17">
        <v>0</v>
      </c>
      <c r="Q87" s="17">
        <v>0</v>
      </c>
      <c r="R87" s="27">
        <v>550000</v>
      </c>
      <c r="S87" s="17">
        <v>76056.61</v>
      </c>
      <c r="T87" s="44">
        <f t="shared" si="19"/>
        <v>0.13828474545454544</v>
      </c>
      <c r="U87" s="23" t="s">
        <v>185</v>
      </c>
    </row>
    <row r="88" spans="1:21" ht="31.5">
      <c r="A88" s="24">
        <v>29</v>
      </c>
      <c r="B88" s="9" t="s">
        <v>98</v>
      </c>
      <c r="C88" s="10" t="s">
        <v>9</v>
      </c>
      <c r="D88" s="10"/>
      <c r="E88" s="17"/>
      <c r="F88" s="17"/>
      <c r="G88" s="17"/>
      <c r="H88" s="17"/>
      <c r="I88" s="17"/>
      <c r="J88" s="17"/>
      <c r="K88" s="16">
        <f>SUM(L88+Q88+O88+P88)</f>
        <v>545000</v>
      </c>
      <c r="L88" s="17">
        <f>SUM(M88:N88)</f>
        <v>305000</v>
      </c>
      <c r="M88" s="17">
        <f>205000+100000</f>
        <v>305000</v>
      </c>
      <c r="N88" s="17">
        <v>0</v>
      </c>
      <c r="O88" s="17">
        <v>0</v>
      </c>
      <c r="P88" s="17">
        <v>0</v>
      </c>
      <c r="Q88" s="17">
        <v>240000</v>
      </c>
      <c r="R88" s="27">
        <v>545000</v>
      </c>
      <c r="S88" s="17">
        <v>0</v>
      </c>
      <c r="T88" s="44">
        <f t="shared" si="19"/>
        <v>0</v>
      </c>
      <c r="U88" s="23" t="s">
        <v>152</v>
      </c>
    </row>
    <row r="89" spans="1:21" ht="21" customHeight="1">
      <c r="A89" s="24">
        <v>30</v>
      </c>
      <c r="B89" s="9" t="s">
        <v>100</v>
      </c>
      <c r="C89" s="10" t="s">
        <v>9</v>
      </c>
      <c r="D89" s="10"/>
      <c r="E89" s="17"/>
      <c r="F89" s="17"/>
      <c r="G89" s="17"/>
      <c r="H89" s="17"/>
      <c r="I89" s="17"/>
      <c r="J89" s="17"/>
      <c r="K89" s="16">
        <f>SUM(L89+Q89+O89+P89)</f>
        <v>250000</v>
      </c>
      <c r="L89" s="17">
        <f>SUM(M89:N89)</f>
        <v>250000</v>
      </c>
      <c r="M89" s="17">
        <v>250000</v>
      </c>
      <c r="N89" s="17">
        <v>0</v>
      </c>
      <c r="O89" s="17">
        <v>0</v>
      </c>
      <c r="P89" s="17">
        <v>0</v>
      </c>
      <c r="Q89" s="17">
        <v>0</v>
      </c>
      <c r="R89" s="27">
        <v>250000</v>
      </c>
      <c r="S89" s="17">
        <v>0</v>
      </c>
      <c r="T89" s="44">
        <f t="shared" si="19"/>
        <v>0</v>
      </c>
      <c r="U89" s="23" t="s">
        <v>189</v>
      </c>
    </row>
    <row r="90" spans="1:21" s="30" customFormat="1" ht="15.75">
      <c r="A90" s="24">
        <v>31</v>
      </c>
      <c r="B90" s="9" t="s">
        <v>53</v>
      </c>
      <c r="C90" s="29" t="s">
        <v>9</v>
      </c>
      <c r="D90" s="29"/>
      <c r="E90" s="25"/>
      <c r="F90" s="25"/>
      <c r="G90" s="25"/>
      <c r="H90" s="25"/>
      <c r="I90" s="25"/>
      <c r="J90" s="25"/>
      <c r="K90" s="27">
        <f>SUM(L90+Q90+O90+P90)</f>
        <v>250000</v>
      </c>
      <c r="L90" s="25">
        <f>SUM(M90:N90)</f>
        <v>50000</v>
      </c>
      <c r="M90" s="25">
        <f>150000-100000</f>
        <v>50000</v>
      </c>
      <c r="N90" s="25">
        <v>0</v>
      </c>
      <c r="O90" s="25">
        <v>0</v>
      </c>
      <c r="P90" s="25">
        <v>0</v>
      </c>
      <c r="Q90" s="25">
        <f>100000+100000</f>
        <v>200000</v>
      </c>
      <c r="R90" s="27">
        <v>250000</v>
      </c>
      <c r="S90" s="25">
        <v>66.22</v>
      </c>
      <c r="T90" s="44">
        <f t="shared" si="19"/>
        <v>0.00026488</v>
      </c>
      <c r="U90" s="23" t="s">
        <v>153</v>
      </c>
    </row>
    <row r="91" spans="1:21" ht="25.5" customHeight="1">
      <c r="A91" s="24">
        <v>32</v>
      </c>
      <c r="B91" s="42" t="s">
        <v>101</v>
      </c>
      <c r="C91" s="10" t="s">
        <v>9</v>
      </c>
      <c r="D91" s="10"/>
      <c r="E91" s="17"/>
      <c r="F91" s="17"/>
      <c r="G91" s="17"/>
      <c r="H91" s="17"/>
      <c r="I91" s="17"/>
      <c r="J91" s="17"/>
      <c r="K91" s="16">
        <f>SUM(L91+O91+Q91+P91)</f>
        <v>400000</v>
      </c>
      <c r="L91" s="17">
        <f>SUM(M91:N91)</f>
        <v>400000</v>
      </c>
      <c r="M91" s="17">
        <f>100000+300000</f>
        <v>400000</v>
      </c>
      <c r="N91" s="17">
        <v>0</v>
      </c>
      <c r="O91" s="17">
        <v>0</v>
      </c>
      <c r="P91" s="17">
        <v>0</v>
      </c>
      <c r="Q91" s="17">
        <v>0</v>
      </c>
      <c r="R91" s="27">
        <v>400000</v>
      </c>
      <c r="S91" s="17">
        <v>21960</v>
      </c>
      <c r="T91" s="44">
        <f t="shared" si="19"/>
        <v>0.0549</v>
      </c>
      <c r="U91" s="23" t="s">
        <v>185</v>
      </c>
    </row>
    <row r="92" spans="1:21" ht="22.5" customHeight="1">
      <c r="A92" s="24">
        <v>33</v>
      </c>
      <c r="B92" s="41" t="s">
        <v>169</v>
      </c>
      <c r="C92" s="10" t="s">
        <v>7</v>
      </c>
      <c r="D92" s="10">
        <v>100000</v>
      </c>
      <c r="E92" s="17">
        <f>SUM(F92:G92)</f>
        <v>100000</v>
      </c>
      <c r="F92" s="17">
        <v>100000</v>
      </c>
      <c r="G92" s="17">
        <v>0</v>
      </c>
      <c r="H92" s="17">
        <v>0</v>
      </c>
      <c r="I92" s="17">
        <v>0</v>
      </c>
      <c r="J92" s="17">
        <v>0</v>
      </c>
      <c r="K92" s="16">
        <f aca="true" t="shared" si="21" ref="K92:K111">SUM(L92+Q92+O92+P92)</f>
        <v>100000</v>
      </c>
      <c r="L92" s="17">
        <f t="shared" si="20"/>
        <v>100000</v>
      </c>
      <c r="M92" s="17">
        <v>100000</v>
      </c>
      <c r="N92" s="17">
        <v>0</v>
      </c>
      <c r="O92" s="17">
        <v>0</v>
      </c>
      <c r="P92" s="17">
        <v>0</v>
      </c>
      <c r="Q92" s="17">
        <v>0</v>
      </c>
      <c r="R92" s="27">
        <v>100000</v>
      </c>
      <c r="S92" s="17">
        <v>0</v>
      </c>
      <c r="T92" s="44">
        <f t="shared" si="19"/>
        <v>0</v>
      </c>
      <c r="U92" s="23" t="s">
        <v>185</v>
      </c>
    </row>
    <row r="93" spans="1:21" ht="27.75" customHeight="1">
      <c r="A93" s="24">
        <v>34</v>
      </c>
      <c r="B93" s="41" t="s">
        <v>85</v>
      </c>
      <c r="C93" s="10" t="s">
        <v>74</v>
      </c>
      <c r="D93" s="10"/>
      <c r="E93" s="17"/>
      <c r="F93" s="17"/>
      <c r="G93" s="17"/>
      <c r="H93" s="17"/>
      <c r="I93" s="17"/>
      <c r="J93" s="17"/>
      <c r="K93" s="16">
        <f t="shared" si="21"/>
        <v>19500</v>
      </c>
      <c r="L93" s="17">
        <f t="shared" si="20"/>
        <v>19500</v>
      </c>
      <c r="M93" s="17">
        <f>48000-28500</f>
        <v>19500</v>
      </c>
      <c r="N93" s="17">
        <v>0</v>
      </c>
      <c r="O93" s="17">
        <v>0</v>
      </c>
      <c r="P93" s="17">
        <v>0</v>
      </c>
      <c r="Q93" s="17">
        <v>0</v>
      </c>
      <c r="R93" s="27">
        <v>19500</v>
      </c>
      <c r="S93" s="17">
        <v>17173.5</v>
      </c>
      <c r="T93" s="44">
        <f t="shared" si="19"/>
        <v>0.8806923076923077</v>
      </c>
      <c r="U93" s="23" t="s">
        <v>185</v>
      </c>
    </row>
    <row r="94" spans="1:21" ht="24.75" customHeight="1">
      <c r="A94" s="24">
        <v>35</v>
      </c>
      <c r="B94" s="41" t="s">
        <v>75</v>
      </c>
      <c r="C94" s="10" t="s">
        <v>67</v>
      </c>
      <c r="D94" s="10"/>
      <c r="E94" s="17"/>
      <c r="F94" s="17"/>
      <c r="G94" s="17"/>
      <c r="H94" s="17"/>
      <c r="I94" s="17"/>
      <c r="J94" s="17"/>
      <c r="K94" s="16">
        <f t="shared" si="21"/>
        <v>50000</v>
      </c>
      <c r="L94" s="17">
        <f t="shared" si="20"/>
        <v>50000</v>
      </c>
      <c r="M94" s="17">
        <v>50000</v>
      </c>
      <c r="N94" s="17">
        <v>0</v>
      </c>
      <c r="O94" s="17">
        <v>0</v>
      </c>
      <c r="P94" s="17">
        <v>0</v>
      </c>
      <c r="Q94" s="17">
        <v>0</v>
      </c>
      <c r="R94" s="27">
        <v>50000</v>
      </c>
      <c r="S94" s="17">
        <v>0</v>
      </c>
      <c r="T94" s="44">
        <f t="shared" si="19"/>
        <v>0</v>
      </c>
      <c r="U94" s="23" t="s">
        <v>185</v>
      </c>
    </row>
    <row r="95" spans="1:21" ht="28.5" customHeight="1">
      <c r="A95" s="24">
        <v>36</v>
      </c>
      <c r="B95" s="36" t="s">
        <v>102</v>
      </c>
      <c r="C95" s="10" t="s">
        <v>20</v>
      </c>
      <c r="D95" s="10"/>
      <c r="E95" s="17"/>
      <c r="F95" s="17"/>
      <c r="G95" s="17"/>
      <c r="H95" s="17"/>
      <c r="I95" s="17"/>
      <c r="J95" s="17"/>
      <c r="K95" s="16">
        <f>SUM(L95+Q95+O95+P95)</f>
        <v>50000</v>
      </c>
      <c r="L95" s="17">
        <f>SUM(M95:N95)</f>
        <v>50000</v>
      </c>
      <c r="M95" s="17">
        <v>50000</v>
      </c>
      <c r="N95" s="17">
        <v>0</v>
      </c>
      <c r="O95" s="17">
        <v>0</v>
      </c>
      <c r="P95" s="17">
        <v>0</v>
      </c>
      <c r="Q95" s="17">
        <v>0</v>
      </c>
      <c r="R95" s="27">
        <v>50000</v>
      </c>
      <c r="S95" s="17">
        <v>0</v>
      </c>
      <c r="T95" s="44">
        <f t="shared" si="19"/>
        <v>0</v>
      </c>
      <c r="U95" s="23" t="s">
        <v>154</v>
      </c>
    </row>
    <row r="96" spans="1:21" ht="38.25" customHeight="1">
      <c r="A96" s="24">
        <v>37</v>
      </c>
      <c r="B96" s="41" t="s">
        <v>36</v>
      </c>
      <c r="C96" s="10" t="s">
        <v>10</v>
      </c>
      <c r="D96" s="10">
        <v>25000</v>
      </c>
      <c r="E96" s="17">
        <f>SUM(F96:G96)</f>
        <v>30000</v>
      </c>
      <c r="F96" s="17">
        <v>30000</v>
      </c>
      <c r="G96" s="17">
        <v>0</v>
      </c>
      <c r="H96" s="17">
        <v>0</v>
      </c>
      <c r="I96" s="17">
        <v>0</v>
      </c>
      <c r="J96" s="17">
        <v>0</v>
      </c>
      <c r="K96" s="16">
        <f t="shared" si="21"/>
        <v>75000</v>
      </c>
      <c r="L96" s="17">
        <f t="shared" si="20"/>
        <v>75000</v>
      </c>
      <c r="M96" s="17">
        <f>50000+25000</f>
        <v>75000</v>
      </c>
      <c r="N96" s="17">
        <v>0</v>
      </c>
      <c r="O96" s="17">
        <v>0</v>
      </c>
      <c r="P96" s="17">
        <v>0</v>
      </c>
      <c r="Q96" s="17">
        <v>0</v>
      </c>
      <c r="R96" s="27">
        <v>75000</v>
      </c>
      <c r="S96" s="17">
        <v>1361.17</v>
      </c>
      <c r="T96" s="44">
        <f t="shared" si="19"/>
        <v>0.018148933333333336</v>
      </c>
      <c r="U96" s="23" t="s">
        <v>185</v>
      </c>
    </row>
    <row r="97" spans="1:21" ht="82.5" customHeight="1">
      <c r="A97" s="24">
        <v>38</v>
      </c>
      <c r="B97" s="42" t="s">
        <v>137</v>
      </c>
      <c r="C97" s="10" t="s">
        <v>10</v>
      </c>
      <c r="D97" s="10">
        <v>200000</v>
      </c>
      <c r="E97" s="17">
        <f>SUM(F97:G97)</f>
        <v>50000</v>
      </c>
      <c r="F97" s="17">
        <v>50000</v>
      </c>
      <c r="G97" s="17">
        <v>0</v>
      </c>
      <c r="H97" s="17">
        <v>0</v>
      </c>
      <c r="I97" s="17">
        <v>0</v>
      </c>
      <c r="J97" s="17">
        <v>150000</v>
      </c>
      <c r="K97" s="16">
        <f t="shared" si="21"/>
        <v>340000</v>
      </c>
      <c r="L97" s="17">
        <f t="shared" si="20"/>
        <v>340000</v>
      </c>
      <c r="M97" s="17">
        <f>100000+240000</f>
        <v>340000</v>
      </c>
      <c r="N97" s="17">
        <v>0</v>
      </c>
      <c r="O97" s="17">
        <v>0</v>
      </c>
      <c r="P97" s="17">
        <v>0</v>
      </c>
      <c r="Q97" s="17">
        <v>0</v>
      </c>
      <c r="R97" s="27">
        <v>340000</v>
      </c>
      <c r="S97" s="17">
        <v>878.4</v>
      </c>
      <c r="T97" s="44">
        <f t="shared" si="19"/>
        <v>0.002583529411764706</v>
      </c>
      <c r="U97" s="23" t="s">
        <v>190</v>
      </c>
    </row>
    <row r="98" spans="1:21" ht="25.5" customHeight="1">
      <c r="A98" s="24">
        <v>39</v>
      </c>
      <c r="B98" s="42" t="s">
        <v>103</v>
      </c>
      <c r="C98" s="10" t="s">
        <v>73</v>
      </c>
      <c r="D98" s="10"/>
      <c r="E98" s="17"/>
      <c r="F98" s="17"/>
      <c r="G98" s="17"/>
      <c r="H98" s="17"/>
      <c r="I98" s="17"/>
      <c r="J98" s="17"/>
      <c r="K98" s="16">
        <f t="shared" si="21"/>
        <v>50000</v>
      </c>
      <c r="L98" s="17">
        <f t="shared" si="20"/>
        <v>50000</v>
      </c>
      <c r="M98" s="17">
        <v>50000</v>
      </c>
      <c r="N98" s="17">
        <v>0</v>
      </c>
      <c r="O98" s="17">
        <v>0</v>
      </c>
      <c r="P98" s="17">
        <v>0</v>
      </c>
      <c r="Q98" s="17">
        <v>0</v>
      </c>
      <c r="R98" s="27">
        <v>50000</v>
      </c>
      <c r="S98" s="17">
        <v>0</v>
      </c>
      <c r="T98" s="44">
        <f t="shared" si="19"/>
        <v>0</v>
      </c>
      <c r="U98" s="23" t="s">
        <v>186</v>
      </c>
    </row>
    <row r="99" spans="1:21" ht="36" customHeight="1">
      <c r="A99" s="24">
        <v>40</v>
      </c>
      <c r="B99" s="42" t="s">
        <v>61</v>
      </c>
      <c r="C99" s="10" t="s">
        <v>73</v>
      </c>
      <c r="D99" s="10"/>
      <c r="E99" s="17"/>
      <c r="F99" s="17"/>
      <c r="G99" s="17"/>
      <c r="H99" s="17"/>
      <c r="I99" s="17"/>
      <c r="J99" s="17"/>
      <c r="K99" s="16">
        <f t="shared" si="21"/>
        <v>50000</v>
      </c>
      <c r="L99" s="17">
        <f t="shared" si="20"/>
        <v>50000</v>
      </c>
      <c r="M99" s="17">
        <v>50000</v>
      </c>
      <c r="N99" s="17">
        <v>0</v>
      </c>
      <c r="O99" s="17">
        <v>0</v>
      </c>
      <c r="P99" s="17">
        <v>0</v>
      </c>
      <c r="Q99" s="17">
        <v>0</v>
      </c>
      <c r="R99" s="27">
        <v>50000</v>
      </c>
      <c r="S99" s="17">
        <v>0</v>
      </c>
      <c r="T99" s="44">
        <f t="shared" si="19"/>
        <v>0</v>
      </c>
      <c r="U99" s="23" t="s">
        <v>186</v>
      </c>
    </row>
    <row r="100" spans="1:21" ht="39" customHeight="1">
      <c r="A100" s="24">
        <v>41</v>
      </c>
      <c r="B100" s="9" t="s">
        <v>104</v>
      </c>
      <c r="C100" s="10" t="s">
        <v>19</v>
      </c>
      <c r="D100" s="10"/>
      <c r="E100" s="17"/>
      <c r="F100" s="17"/>
      <c r="G100" s="17"/>
      <c r="H100" s="17"/>
      <c r="I100" s="17"/>
      <c r="J100" s="17"/>
      <c r="K100" s="16">
        <f t="shared" si="21"/>
        <v>50000</v>
      </c>
      <c r="L100" s="17">
        <f t="shared" si="20"/>
        <v>50000</v>
      </c>
      <c r="M100" s="17">
        <v>50000</v>
      </c>
      <c r="N100" s="17">
        <v>0</v>
      </c>
      <c r="O100" s="17">
        <v>0</v>
      </c>
      <c r="P100" s="17">
        <v>0</v>
      </c>
      <c r="Q100" s="17">
        <v>0</v>
      </c>
      <c r="R100" s="27">
        <v>50000</v>
      </c>
      <c r="S100" s="17">
        <v>12322</v>
      </c>
      <c r="T100" s="44">
        <f t="shared" si="19"/>
        <v>0.24644</v>
      </c>
      <c r="U100" s="23" t="s">
        <v>155</v>
      </c>
    </row>
    <row r="101" spans="1:21" s="31" customFormat="1" ht="79.5" customHeight="1">
      <c r="A101" s="24">
        <v>42</v>
      </c>
      <c r="B101" s="53" t="s">
        <v>105</v>
      </c>
      <c r="C101" s="29" t="s">
        <v>6</v>
      </c>
      <c r="D101" s="29"/>
      <c r="E101" s="25"/>
      <c r="F101" s="25"/>
      <c r="G101" s="25"/>
      <c r="H101" s="25"/>
      <c r="I101" s="25"/>
      <c r="J101" s="25"/>
      <c r="K101" s="27">
        <f t="shared" si="21"/>
        <v>550000</v>
      </c>
      <c r="L101" s="25">
        <f aca="true" t="shared" si="22" ref="L101:L110">SUM(M101:N101)</f>
        <v>550000</v>
      </c>
      <c r="M101" s="25">
        <f>420000+130000</f>
        <v>550000</v>
      </c>
      <c r="N101" s="35"/>
      <c r="O101" s="35"/>
      <c r="P101" s="35"/>
      <c r="Q101" s="35"/>
      <c r="R101" s="47">
        <v>550000</v>
      </c>
      <c r="S101" s="35">
        <v>0</v>
      </c>
      <c r="T101" s="44">
        <f t="shared" si="19"/>
        <v>0</v>
      </c>
      <c r="U101" s="23" t="s">
        <v>174</v>
      </c>
    </row>
    <row r="102" spans="1:21" s="31" customFormat="1" ht="21" customHeight="1">
      <c r="A102" s="24">
        <v>43</v>
      </c>
      <c r="B102" s="9" t="s">
        <v>138</v>
      </c>
      <c r="C102" s="29" t="s">
        <v>9</v>
      </c>
      <c r="D102" s="29"/>
      <c r="E102" s="25"/>
      <c r="F102" s="25"/>
      <c r="G102" s="25"/>
      <c r="H102" s="25"/>
      <c r="I102" s="25"/>
      <c r="J102" s="25"/>
      <c r="K102" s="27">
        <f t="shared" si="21"/>
        <v>180000</v>
      </c>
      <c r="L102" s="25">
        <f t="shared" si="22"/>
        <v>180000</v>
      </c>
      <c r="M102" s="25">
        <v>180000</v>
      </c>
      <c r="N102" s="35"/>
      <c r="O102" s="35"/>
      <c r="P102" s="35"/>
      <c r="Q102" s="35"/>
      <c r="R102" s="47">
        <v>180000</v>
      </c>
      <c r="S102" s="35">
        <v>0</v>
      </c>
      <c r="T102" s="44">
        <f t="shared" si="19"/>
        <v>0</v>
      </c>
      <c r="U102" s="23" t="s">
        <v>151</v>
      </c>
    </row>
    <row r="103" spans="1:21" s="31" customFormat="1" ht="36" customHeight="1">
      <c r="A103" s="24">
        <v>44</v>
      </c>
      <c r="B103" s="9" t="s">
        <v>106</v>
      </c>
      <c r="C103" s="29" t="s">
        <v>5</v>
      </c>
      <c r="D103" s="29"/>
      <c r="E103" s="25"/>
      <c r="F103" s="25"/>
      <c r="G103" s="25"/>
      <c r="H103" s="25"/>
      <c r="I103" s="25"/>
      <c r="J103" s="25"/>
      <c r="K103" s="27">
        <f t="shared" si="21"/>
        <v>300000</v>
      </c>
      <c r="L103" s="25">
        <f t="shared" si="22"/>
        <v>100000</v>
      </c>
      <c r="M103" s="25">
        <v>50000</v>
      </c>
      <c r="N103" s="25">
        <v>50000</v>
      </c>
      <c r="O103" s="35"/>
      <c r="P103" s="35"/>
      <c r="Q103" s="25">
        <v>200000</v>
      </c>
      <c r="R103" s="27">
        <v>300000</v>
      </c>
      <c r="S103" s="25">
        <v>0</v>
      </c>
      <c r="T103" s="44">
        <f t="shared" si="19"/>
        <v>0</v>
      </c>
      <c r="U103" s="23" t="s">
        <v>175</v>
      </c>
    </row>
    <row r="104" spans="1:21" s="31" customFormat="1" ht="40.5" customHeight="1">
      <c r="A104" s="24">
        <v>45</v>
      </c>
      <c r="B104" s="9" t="s">
        <v>107</v>
      </c>
      <c r="C104" s="29" t="s">
        <v>5</v>
      </c>
      <c r="D104" s="29"/>
      <c r="E104" s="25"/>
      <c r="F104" s="25"/>
      <c r="G104" s="25"/>
      <c r="H104" s="25"/>
      <c r="I104" s="25"/>
      <c r="J104" s="25"/>
      <c r="K104" s="27">
        <f t="shared" si="21"/>
        <v>60000</v>
      </c>
      <c r="L104" s="25">
        <f t="shared" si="22"/>
        <v>60000</v>
      </c>
      <c r="M104" s="25">
        <v>60000</v>
      </c>
      <c r="N104" s="25"/>
      <c r="O104" s="35"/>
      <c r="P104" s="35"/>
      <c r="Q104" s="25"/>
      <c r="R104" s="27">
        <v>60000</v>
      </c>
      <c r="S104" s="25">
        <v>0</v>
      </c>
      <c r="T104" s="44">
        <f t="shared" si="19"/>
        <v>0</v>
      </c>
      <c r="U104" s="23" t="s">
        <v>191</v>
      </c>
    </row>
    <row r="105" spans="1:21" s="31" customFormat="1" ht="32.25" customHeight="1">
      <c r="A105" s="24">
        <v>46</v>
      </c>
      <c r="B105" s="9" t="s">
        <v>108</v>
      </c>
      <c r="C105" s="29" t="s">
        <v>5</v>
      </c>
      <c r="D105" s="29"/>
      <c r="E105" s="25"/>
      <c r="F105" s="25"/>
      <c r="G105" s="25"/>
      <c r="H105" s="25"/>
      <c r="I105" s="25"/>
      <c r="J105" s="25"/>
      <c r="K105" s="27">
        <f t="shared" si="21"/>
        <v>70000</v>
      </c>
      <c r="L105" s="25">
        <f t="shared" si="22"/>
        <v>70000</v>
      </c>
      <c r="M105" s="25">
        <v>70000</v>
      </c>
      <c r="N105" s="25"/>
      <c r="O105" s="35"/>
      <c r="P105" s="35"/>
      <c r="Q105" s="25"/>
      <c r="R105" s="27">
        <v>70000</v>
      </c>
      <c r="S105" s="25">
        <v>0</v>
      </c>
      <c r="T105" s="44">
        <f t="shared" si="19"/>
        <v>0</v>
      </c>
      <c r="U105" s="23" t="s">
        <v>88</v>
      </c>
    </row>
    <row r="106" spans="1:21" s="31" customFormat="1" ht="33.75" customHeight="1">
      <c r="A106" s="24">
        <v>47</v>
      </c>
      <c r="B106" s="9" t="s">
        <v>109</v>
      </c>
      <c r="C106" s="29" t="s">
        <v>77</v>
      </c>
      <c r="D106" s="29"/>
      <c r="E106" s="25"/>
      <c r="F106" s="25"/>
      <c r="G106" s="25"/>
      <c r="H106" s="25"/>
      <c r="I106" s="25"/>
      <c r="J106" s="25"/>
      <c r="K106" s="27">
        <f t="shared" si="21"/>
        <v>120000</v>
      </c>
      <c r="L106" s="25">
        <f t="shared" si="22"/>
        <v>120000</v>
      </c>
      <c r="M106" s="25">
        <v>120000</v>
      </c>
      <c r="N106" s="25"/>
      <c r="O106" s="35"/>
      <c r="P106" s="35"/>
      <c r="Q106" s="25"/>
      <c r="R106" s="27">
        <v>120000</v>
      </c>
      <c r="S106" s="25">
        <v>0</v>
      </c>
      <c r="T106" s="44">
        <f t="shared" si="19"/>
        <v>0</v>
      </c>
      <c r="U106" s="23" t="s">
        <v>167</v>
      </c>
    </row>
    <row r="107" spans="1:21" s="31" customFormat="1" ht="37.5" customHeight="1">
      <c r="A107" s="24">
        <v>48</v>
      </c>
      <c r="B107" s="41" t="s">
        <v>110</v>
      </c>
      <c r="C107" s="29" t="s">
        <v>6</v>
      </c>
      <c r="D107" s="29"/>
      <c r="E107" s="25"/>
      <c r="F107" s="25"/>
      <c r="G107" s="25"/>
      <c r="H107" s="25"/>
      <c r="I107" s="25"/>
      <c r="J107" s="25"/>
      <c r="K107" s="27">
        <f t="shared" si="21"/>
        <v>50000</v>
      </c>
      <c r="L107" s="25">
        <f t="shared" si="22"/>
        <v>50000</v>
      </c>
      <c r="M107" s="25">
        <v>50000</v>
      </c>
      <c r="N107" s="25"/>
      <c r="O107" s="35"/>
      <c r="P107" s="35"/>
      <c r="Q107" s="25"/>
      <c r="R107" s="27">
        <v>50000</v>
      </c>
      <c r="S107" s="25">
        <v>0</v>
      </c>
      <c r="T107" s="44">
        <f t="shared" si="19"/>
        <v>0</v>
      </c>
      <c r="U107" s="23" t="s">
        <v>188</v>
      </c>
    </row>
    <row r="108" spans="1:21" s="31" customFormat="1" ht="33.75" customHeight="1">
      <c r="A108" s="24">
        <v>49</v>
      </c>
      <c r="B108" s="41" t="s">
        <v>111</v>
      </c>
      <c r="C108" s="29" t="s">
        <v>6</v>
      </c>
      <c r="D108" s="29"/>
      <c r="E108" s="25"/>
      <c r="F108" s="25"/>
      <c r="G108" s="25"/>
      <c r="H108" s="25"/>
      <c r="I108" s="25"/>
      <c r="J108" s="25"/>
      <c r="K108" s="27">
        <f t="shared" si="21"/>
        <v>30000</v>
      </c>
      <c r="L108" s="25">
        <f t="shared" si="22"/>
        <v>30000</v>
      </c>
      <c r="M108" s="25">
        <v>30000</v>
      </c>
      <c r="N108" s="25"/>
      <c r="O108" s="35"/>
      <c r="P108" s="35"/>
      <c r="Q108" s="25"/>
      <c r="R108" s="27">
        <v>30000</v>
      </c>
      <c r="S108" s="25">
        <v>0</v>
      </c>
      <c r="T108" s="44">
        <f t="shared" si="19"/>
        <v>0</v>
      </c>
      <c r="U108" s="23" t="s">
        <v>192</v>
      </c>
    </row>
    <row r="109" spans="1:21" s="31" customFormat="1" ht="51.75" customHeight="1">
      <c r="A109" s="24">
        <v>50</v>
      </c>
      <c r="B109" s="41" t="s">
        <v>112</v>
      </c>
      <c r="C109" s="29" t="s">
        <v>6</v>
      </c>
      <c r="D109" s="29"/>
      <c r="E109" s="25"/>
      <c r="F109" s="25"/>
      <c r="G109" s="25"/>
      <c r="H109" s="25"/>
      <c r="I109" s="25"/>
      <c r="J109" s="25"/>
      <c r="K109" s="27">
        <f t="shared" si="21"/>
        <v>250000</v>
      </c>
      <c r="L109" s="25">
        <f t="shared" si="22"/>
        <v>250000</v>
      </c>
      <c r="M109" s="25">
        <v>250000</v>
      </c>
      <c r="N109" s="25"/>
      <c r="O109" s="35"/>
      <c r="P109" s="35"/>
      <c r="Q109" s="25"/>
      <c r="R109" s="27">
        <v>250000</v>
      </c>
      <c r="S109" s="25">
        <v>0</v>
      </c>
      <c r="T109" s="44">
        <f t="shared" si="19"/>
        <v>0</v>
      </c>
      <c r="U109" s="23" t="s">
        <v>178</v>
      </c>
    </row>
    <row r="110" spans="1:21" s="31" customFormat="1" ht="37.5" customHeight="1">
      <c r="A110" s="24">
        <v>51</v>
      </c>
      <c r="B110" s="41" t="s">
        <v>113</v>
      </c>
      <c r="C110" s="29" t="s">
        <v>78</v>
      </c>
      <c r="D110" s="29"/>
      <c r="E110" s="25"/>
      <c r="F110" s="25"/>
      <c r="G110" s="25"/>
      <c r="H110" s="25"/>
      <c r="I110" s="25"/>
      <c r="J110" s="25"/>
      <c r="K110" s="27">
        <f t="shared" si="21"/>
        <v>50000</v>
      </c>
      <c r="L110" s="25">
        <f t="shared" si="22"/>
        <v>50000</v>
      </c>
      <c r="M110" s="25">
        <v>50000</v>
      </c>
      <c r="N110" s="25"/>
      <c r="O110" s="35"/>
      <c r="P110" s="35"/>
      <c r="Q110" s="25"/>
      <c r="R110" s="27">
        <v>50000</v>
      </c>
      <c r="S110" s="25">
        <v>0</v>
      </c>
      <c r="T110" s="44">
        <f t="shared" si="19"/>
        <v>0</v>
      </c>
      <c r="U110" s="23" t="s">
        <v>193</v>
      </c>
    </row>
    <row r="111" spans="1:21" ht="21" customHeight="1">
      <c r="A111" s="24"/>
      <c r="B111" s="19" t="s">
        <v>16</v>
      </c>
      <c r="C111" s="10"/>
      <c r="D111" s="10"/>
      <c r="E111" s="16">
        <f>F111+G111</f>
        <v>830000</v>
      </c>
      <c r="F111" s="16">
        <f>SUM(F74:F97)</f>
        <v>830000</v>
      </c>
      <c r="G111" s="16">
        <f>SUM(G74:G97)</f>
        <v>0</v>
      </c>
      <c r="H111" s="16">
        <f>SUM(H74:H97)</f>
        <v>0</v>
      </c>
      <c r="I111" s="20">
        <v>0</v>
      </c>
      <c r="J111" s="16">
        <f>SUM(J74:J97)</f>
        <v>1050000</v>
      </c>
      <c r="K111" s="16">
        <f t="shared" si="21"/>
        <v>8515160</v>
      </c>
      <c r="L111" s="16">
        <f>M111+N111</f>
        <v>7045160</v>
      </c>
      <c r="M111" s="16">
        <f>SUM(M59:M110)</f>
        <v>6375160</v>
      </c>
      <c r="N111" s="16">
        <f>SUM(N59:N103)</f>
        <v>670000</v>
      </c>
      <c r="O111" s="16">
        <f>SUM(O74:O97)</f>
        <v>0</v>
      </c>
      <c r="P111" s="20">
        <v>0</v>
      </c>
      <c r="Q111" s="16">
        <f>SUM(Q59:Q103)</f>
        <v>1470000</v>
      </c>
      <c r="R111" s="27">
        <f>SUM(R59:R110)</f>
        <v>8515160</v>
      </c>
      <c r="S111" s="16">
        <f>SUM(S59:S110)</f>
        <v>141026.28</v>
      </c>
      <c r="T111" s="45">
        <f t="shared" si="19"/>
        <v>0.01656178862170529</v>
      </c>
      <c r="U111" s="51"/>
    </row>
    <row r="112" spans="1:21" ht="15.75">
      <c r="A112" s="65" t="s">
        <v>197</v>
      </c>
      <c r="B112" s="66"/>
      <c r="C112" s="15"/>
      <c r="D112" s="15"/>
      <c r="E112" s="16">
        <f>SUM(E57+E111)</f>
        <v>2272000</v>
      </c>
      <c r="F112" s="16" t="e">
        <f>SUM(F57+F111)</f>
        <v>#REF!</v>
      </c>
      <c r="G112" s="16">
        <f>SUM(G111+G57)</f>
        <v>680000</v>
      </c>
      <c r="H112" s="16" t="e">
        <f>SUM(H111+H57)</f>
        <v>#VALUE!</v>
      </c>
      <c r="I112" s="16">
        <f>SUM(I57+I111)</f>
        <v>0</v>
      </c>
      <c r="J112" s="16">
        <f>SUM(J57+J111)</f>
        <v>2250000</v>
      </c>
      <c r="K112" s="16">
        <f>SUM(K57+K111)</f>
        <v>31754905</v>
      </c>
      <c r="L112" s="16">
        <f>SUM(L57+L111)</f>
        <v>19294905</v>
      </c>
      <c r="M112" s="16">
        <f>SUM(M57+M111)</f>
        <v>17959905</v>
      </c>
      <c r="N112" s="16">
        <f>SUM(N111+N57)</f>
        <v>1335000</v>
      </c>
      <c r="O112" s="16">
        <f>SUM(O111+O57)</f>
        <v>0</v>
      </c>
      <c r="P112" s="16">
        <f>SUM(P57+P111)</f>
        <v>0</v>
      </c>
      <c r="Q112" s="16">
        <f>SUM(Q57+Q111)</f>
        <v>12460000</v>
      </c>
      <c r="R112" s="27">
        <f>SUM(R57+R111)</f>
        <v>32454805</v>
      </c>
      <c r="S112" s="16">
        <f>SUM(S57+S111)</f>
        <v>11109084.669999994</v>
      </c>
      <c r="T112" s="45">
        <f t="shared" si="19"/>
        <v>0.3422939891335041</v>
      </c>
      <c r="U112" s="51"/>
    </row>
    <row r="113" spans="16:17" ht="15.75">
      <c r="P113" s="6"/>
      <c r="Q113" s="6"/>
    </row>
    <row r="114" spans="16:17" ht="15.75">
      <c r="P114" s="6"/>
      <c r="Q114" s="6"/>
    </row>
    <row r="115" spans="16:17" ht="15.75">
      <c r="P115" s="6"/>
      <c r="Q115" s="6"/>
    </row>
    <row r="116" spans="16:17" ht="15.75">
      <c r="P116" s="6"/>
      <c r="Q116" s="6"/>
    </row>
    <row r="117" spans="16:17" ht="15.75">
      <c r="P117" s="6"/>
      <c r="Q117" s="6"/>
    </row>
    <row r="118" spans="16:17" ht="15.75">
      <c r="P118" s="6"/>
      <c r="Q118" s="6"/>
    </row>
    <row r="119" spans="16:17" ht="15.75">
      <c r="P119" s="6"/>
      <c r="Q119" s="6"/>
    </row>
    <row r="120" spans="16:17" ht="15.75">
      <c r="P120" s="6"/>
      <c r="Q120" s="6"/>
    </row>
    <row r="121" spans="16:17" ht="15.75">
      <c r="P121" s="6"/>
      <c r="Q121" s="6"/>
    </row>
    <row r="122" spans="16:17" ht="15.75">
      <c r="P122" s="6"/>
      <c r="Q122" s="6"/>
    </row>
    <row r="123" spans="16:17" ht="15.75">
      <c r="P123" s="6"/>
      <c r="Q123" s="6"/>
    </row>
    <row r="124" spans="16:17" ht="15.75">
      <c r="P124" s="6"/>
      <c r="Q124" s="6"/>
    </row>
    <row r="125" spans="16:17" ht="15.75">
      <c r="P125" s="6"/>
      <c r="Q125" s="6"/>
    </row>
    <row r="126" spans="16:17" ht="15.75">
      <c r="P126" s="6"/>
      <c r="Q126" s="6"/>
    </row>
    <row r="127" spans="16:17" ht="15.75">
      <c r="P127" s="6"/>
      <c r="Q127" s="6"/>
    </row>
    <row r="128" spans="16:17" ht="15.75">
      <c r="P128" s="6"/>
      <c r="Q128" s="6"/>
    </row>
    <row r="129" spans="16:17" ht="15.75">
      <c r="P129" s="6"/>
      <c r="Q129" s="6"/>
    </row>
    <row r="130" spans="16:17" ht="15.75">
      <c r="P130" s="6"/>
      <c r="Q130" s="6"/>
    </row>
    <row r="131" spans="16:17" ht="15.75">
      <c r="P131" s="6"/>
      <c r="Q131" s="6"/>
    </row>
    <row r="132" spans="16:17" ht="15.75">
      <c r="P132" s="6"/>
      <c r="Q132" s="6"/>
    </row>
    <row r="133" spans="16:17" ht="15.75">
      <c r="P133" s="6"/>
      <c r="Q133" s="6"/>
    </row>
    <row r="134" spans="16:17" ht="15.75">
      <c r="P134" s="6"/>
      <c r="Q134" s="6"/>
    </row>
    <row r="135" spans="16:17" ht="15.75">
      <c r="P135" s="6"/>
      <c r="Q135" s="6"/>
    </row>
    <row r="136" spans="16:17" ht="15.75">
      <c r="P136" s="6"/>
      <c r="Q136" s="6"/>
    </row>
    <row r="137" spans="16:17" ht="15.75">
      <c r="P137" s="6"/>
      <c r="Q137" s="6"/>
    </row>
  </sheetData>
  <mergeCells count="22">
    <mergeCell ref="A112:B112"/>
    <mergeCell ref="A6:A7"/>
    <mergeCell ref="B6:B7"/>
    <mergeCell ref="C6:C7"/>
    <mergeCell ref="I6:I7"/>
    <mergeCell ref="J6:J7"/>
    <mergeCell ref="D6:D7"/>
    <mergeCell ref="H6:H7"/>
    <mergeCell ref="F6:G6"/>
    <mergeCell ref="E6:E7"/>
    <mergeCell ref="N3:Q3"/>
    <mergeCell ref="N4:P4"/>
    <mergeCell ref="Q6:Q7"/>
    <mergeCell ref="K6:K7"/>
    <mergeCell ref="L6:L7"/>
    <mergeCell ref="M6:N6"/>
    <mergeCell ref="P6:P7"/>
    <mergeCell ref="O6:O7"/>
    <mergeCell ref="U6:U7"/>
    <mergeCell ref="R6:R7"/>
    <mergeCell ref="S6:S7"/>
    <mergeCell ref="T6:T7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0" r:id="rId1"/>
  <headerFooter alignWithMargins="0">
    <oddFooter>&amp;CStrona &amp;P z &amp;N</oddFooter>
  </headerFooter>
  <rowBreaks count="1" manualBreakCount="1"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2007-08-09T09:43:32Z</cp:lastPrinted>
  <dcterms:created xsi:type="dcterms:W3CDTF">1999-03-23T10:45:22Z</dcterms:created>
  <dcterms:modified xsi:type="dcterms:W3CDTF">2007-08-21T07:34:30Z</dcterms:modified>
  <cp:category/>
  <cp:version/>
  <cp:contentType/>
  <cp:contentStatus/>
</cp:coreProperties>
</file>